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Work\AFAS opleding\Economic\"/>
    </mc:Choice>
  </mc:AlternateContent>
  <xr:revisionPtr revIDLastSave="0" documentId="8_{E9A8B77B-84ED-4E15-AB0B-10E6FC558620}" xr6:coauthVersionLast="47" xr6:coauthVersionMax="47" xr10:uidLastSave="{00000000-0000-0000-0000-000000000000}"/>
  <bookViews>
    <workbookView xWindow="28680" yWindow="-120" windowWidth="29040" windowHeight="15720" xr2:uid="{8BE863AC-3BE1-41B3-9F50-0DCC0E4DA317}"/>
  </bookViews>
  <sheets>
    <sheet name="GDP 1986-202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S46" i="1" l="1"/>
  <c r="L46" i="1"/>
  <c r="B46" i="1"/>
  <c r="V45" i="1"/>
  <c r="U5" i="1"/>
  <c r="U6" i="1"/>
  <c r="U7" i="1"/>
  <c r="U8" i="1"/>
  <c r="U9" i="1"/>
  <c r="U10" i="1"/>
  <c r="U11" i="1"/>
  <c r="U12" i="1"/>
  <c r="U13" i="1"/>
  <c r="U14" i="1"/>
  <c r="U15" i="1"/>
  <c r="U16" i="1"/>
  <c r="U17" i="1"/>
  <c r="U18" i="1"/>
  <c r="U19" i="1"/>
  <c r="U20" i="1"/>
  <c r="U21" i="1"/>
  <c r="U22" i="1"/>
  <c r="U23" i="1"/>
  <c r="U24" i="1"/>
  <c r="U25" i="1"/>
  <c r="U26" i="1"/>
  <c r="U27" i="1"/>
  <c r="U28" i="1"/>
  <c r="U29" i="1"/>
  <c r="U30" i="1"/>
  <c r="U31" i="1"/>
  <c r="U32" i="1"/>
  <c r="U33" i="1"/>
  <c r="U34" i="1"/>
  <c r="U35" i="1"/>
  <c r="U36" i="1"/>
  <c r="U37" i="1"/>
  <c r="U38" i="1"/>
  <c r="U39" i="1"/>
  <c r="U40" i="1"/>
  <c r="U41" i="1"/>
  <c r="U42" i="1"/>
  <c r="U43" i="1"/>
  <c r="U44" i="1"/>
  <c r="U45" i="1"/>
  <c r="U4" i="1"/>
  <c r="P4" i="1"/>
  <c r="Q4" i="1" s="1"/>
  <c r="P5" i="1"/>
  <c r="P6" i="1"/>
  <c r="P7" i="1"/>
  <c r="P8" i="1"/>
  <c r="P9" i="1"/>
  <c r="P10" i="1"/>
  <c r="P11" i="1"/>
  <c r="P12" i="1"/>
  <c r="Q12" i="1" s="1"/>
  <c r="P13" i="1"/>
  <c r="P14" i="1"/>
  <c r="P15" i="1"/>
  <c r="P16" i="1"/>
  <c r="P17" i="1"/>
  <c r="Q17" i="1" s="1"/>
  <c r="R13" i="1" l="1"/>
  <c r="R5" i="1"/>
  <c r="R11" i="1"/>
  <c r="R12" i="1"/>
  <c r="R9" i="1"/>
  <c r="R15" i="1"/>
  <c r="R7" i="1"/>
  <c r="Q11" i="1"/>
  <c r="R10" i="1"/>
  <c r="R16" i="1"/>
  <c r="R8" i="1"/>
  <c r="Q9" i="1"/>
  <c r="R14" i="1"/>
  <c r="R6" i="1"/>
  <c r="R17" i="1"/>
  <c r="Q10" i="1"/>
  <c r="Q16" i="1"/>
  <c r="Q8" i="1"/>
  <c r="Q15" i="1"/>
  <c r="Q7" i="1"/>
  <c r="Q14" i="1"/>
  <c r="Q6" i="1"/>
  <c r="Q13" i="1"/>
  <c r="Q5" i="1"/>
  <c r="K18" i="1" l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5" i="1"/>
  <c r="I5" i="1" s="1"/>
  <c r="K6" i="1"/>
  <c r="I6" i="1" s="1"/>
  <c r="K7" i="1"/>
  <c r="K8" i="1"/>
  <c r="I8" i="1" s="1"/>
  <c r="K9" i="1"/>
  <c r="K10" i="1"/>
  <c r="K11" i="1"/>
  <c r="I11" i="1" s="1"/>
  <c r="K12" i="1"/>
  <c r="I12" i="1" s="1"/>
  <c r="K13" i="1"/>
  <c r="K14" i="1"/>
  <c r="I14" i="1" s="1"/>
  <c r="K15" i="1"/>
  <c r="K16" i="1"/>
  <c r="I16" i="1" s="1"/>
  <c r="K17" i="1"/>
  <c r="K4" i="1"/>
  <c r="I4" i="1"/>
  <c r="M6" i="1"/>
  <c r="M7" i="1"/>
  <c r="M8" i="1"/>
  <c r="M9" i="1"/>
  <c r="M10" i="1"/>
  <c r="M11" i="1"/>
  <c r="M12" i="1"/>
  <c r="M13" i="1"/>
  <c r="M14" i="1"/>
  <c r="M15" i="1"/>
  <c r="M16" i="1"/>
  <c r="M17" i="1"/>
  <c r="M18" i="1"/>
  <c r="M19" i="1"/>
  <c r="M20" i="1"/>
  <c r="M21" i="1"/>
  <c r="M22" i="1"/>
  <c r="M23" i="1"/>
  <c r="M24" i="1"/>
  <c r="M25" i="1"/>
  <c r="M26" i="1"/>
  <c r="M27" i="1"/>
  <c r="M28" i="1"/>
  <c r="M29" i="1"/>
  <c r="M30" i="1"/>
  <c r="M31" i="1"/>
  <c r="M32" i="1"/>
  <c r="M33" i="1"/>
  <c r="M34" i="1"/>
  <c r="M35" i="1"/>
  <c r="M36" i="1"/>
  <c r="M37" i="1"/>
  <c r="M38" i="1"/>
  <c r="M39" i="1"/>
  <c r="M40" i="1"/>
  <c r="M41" i="1"/>
  <c r="M42" i="1"/>
  <c r="M43" i="1"/>
  <c r="M44" i="1"/>
  <c r="M45" i="1"/>
  <c r="M5" i="1"/>
  <c r="F4" i="1"/>
  <c r="F5" i="1"/>
  <c r="S4" i="1"/>
  <c r="S5" i="1"/>
  <c r="V5" i="1" s="1"/>
  <c r="F6" i="1"/>
  <c r="F7" i="1"/>
  <c r="F8" i="1"/>
  <c r="F9" i="1"/>
  <c r="F10" i="1"/>
  <c r="I7" i="1"/>
  <c r="I9" i="1"/>
  <c r="I10" i="1"/>
  <c r="S7" i="1"/>
  <c r="V7" i="1" s="1"/>
  <c r="S8" i="1"/>
  <c r="V8" i="1" s="1"/>
  <c r="S6" i="1"/>
  <c r="V6" i="1" s="1"/>
  <c r="S9" i="1"/>
  <c r="V9" i="1" s="1"/>
  <c r="S10" i="1"/>
  <c r="V10" i="1" s="1"/>
  <c r="F11" i="1"/>
  <c r="F12" i="1"/>
  <c r="F13" i="1"/>
  <c r="F14" i="1"/>
  <c r="F15" i="1"/>
  <c r="F16" i="1"/>
  <c r="F17" i="1"/>
  <c r="I13" i="1"/>
  <c r="I15" i="1"/>
  <c r="I17" i="1"/>
  <c r="S11" i="1"/>
  <c r="V11" i="1" s="1"/>
  <c r="S13" i="1"/>
  <c r="V13" i="1" s="1"/>
  <c r="S15" i="1"/>
  <c r="V15" i="1" s="1"/>
  <c r="S17" i="1"/>
  <c r="V17" i="1" s="1"/>
  <c r="S14" i="1"/>
  <c r="V14" i="1" s="1"/>
  <c r="S16" i="1"/>
  <c r="V16" i="1" s="1"/>
  <c r="S43" i="1"/>
  <c r="V43" i="1" s="1"/>
  <c r="P43" i="1"/>
  <c r="Q43" i="1" s="1"/>
  <c r="J43" i="1"/>
  <c r="J44" i="1" s="1"/>
  <c r="J45" i="1" s="1"/>
  <c r="I43" i="1"/>
  <c r="I44" i="1" s="1"/>
  <c r="I45" i="1" s="1"/>
  <c r="H43" i="1"/>
  <c r="H44" i="1" s="1"/>
  <c r="H45" i="1" s="1"/>
  <c r="G43" i="1"/>
  <c r="G44" i="1" s="1"/>
  <c r="G45" i="1" s="1"/>
  <c r="F43" i="1"/>
  <c r="F44" i="1" s="1"/>
  <c r="F45" i="1" s="1"/>
  <c r="E43" i="1"/>
  <c r="E44" i="1" s="1"/>
  <c r="E45" i="1" s="1"/>
  <c r="D43" i="1"/>
  <c r="D44" i="1" s="1"/>
  <c r="D45" i="1" s="1"/>
  <c r="C43" i="1"/>
  <c r="C44" i="1" s="1"/>
  <c r="C45" i="1" s="1"/>
  <c r="S42" i="1"/>
  <c r="V42" i="1" s="1"/>
  <c r="P42" i="1"/>
  <c r="Q42" i="1" s="1"/>
  <c r="S41" i="1"/>
  <c r="V41" i="1" s="1"/>
  <c r="P41" i="1"/>
  <c r="Q41" i="1" s="1"/>
  <c r="S40" i="1"/>
  <c r="V40" i="1" s="1"/>
  <c r="P40" i="1"/>
  <c r="S39" i="1"/>
  <c r="V39" i="1" s="1"/>
  <c r="P39" i="1"/>
  <c r="S38" i="1"/>
  <c r="V38" i="1" s="1"/>
  <c r="P38" i="1"/>
  <c r="Q38" i="1" s="1"/>
  <c r="S37" i="1"/>
  <c r="V37" i="1" s="1"/>
  <c r="P37" i="1"/>
  <c r="Q37" i="1" s="1"/>
  <c r="S36" i="1"/>
  <c r="V36" i="1" s="1"/>
  <c r="P36" i="1"/>
  <c r="S35" i="1"/>
  <c r="V35" i="1" s="1"/>
  <c r="P35" i="1"/>
  <c r="Q35" i="1" s="1"/>
  <c r="S34" i="1"/>
  <c r="V34" i="1" s="1"/>
  <c r="P34" i="1"/>
  <c r="Q34" i="1" s="1"/>
  <c r="S33" i="1"/>
  <c r="V33" i="1" s="1"/>
  <c r="P33" i="1"/>
  <c r="Q33" i="1" s="1"/>
  <c r="S32" i="1"/>
  <c r="V32" i="1" s="1"/>
  <c r="P32" i="1"/>
  <c r="S31" i="1"/>
  <c r="V31" i="1" s="1"/>
  <c r="P31" i="1"/>
  <c r="Q31" i="1" s="1"/>
  <c r="S30" i="1"/>
  <c r="V30" i="1" s="1"/>
  <c r="P30" i="1"/>
  <c r="Q30" i="1" s="1"/>
  <c r="S29" i="1"/>
  <c r="V29" i="1" s="1"/>
  <c r="P29" i="1"/>
  <c r="Q29" i="1" s="1"/>
  <c r="S28" i="1"/>
  <c r="V28" i="1" s="1"/>
  <c r="P28" i="1"/>
  <c r="Q28" i="1" s="1"/>
  <c r="S27" i="1"/>
  <c r="V27" i="1" s="1"/>
  <c r="P27" i="1"/>
  <c r="S26" i="1"/>
  <c r="V26" i="1" s="1"/>
  <c r="P26" i="1"/>
  <c r="Q26" i="1" s="1"/>
  <c r="S25" i="1"/>
  <c r="V25" i="1" s="1"/>
  <c r="P25" i="1"/>
  <c r="Q25" i="1" s="1"/>
  <c r="S24" i="1"/>
  <c r="V24" i="1" s="1"/>
  <c r="P24" i="1"/>
  <c r="S23" i="1"/>
  <c r="V23" i="1" s="1"/>
  <c r="P23" i="1"/>
  <c r="Q23" i="1" s="1"/>
  <c r="S22" i="1"/>
  <c r="V22" i="1" s="1"/>
  <c r="P22" i="1"/>
  <c r="S21" i="1"/>
  <c r="V21" i="1" s="1"/>
  <c r="P21" i="1"/>
  <c r="Q21" i="1" s="1"/>
  <c r="S20" i="1"/>
  <c r="V20" i="1" s="1"/>
  <c r="P20" i="1"/>
  <c r="Q20" i="1" s="1"/>
  <c r="S19" i="1"/>
  <c r="V19" i="1" s="1"/>
  <c r="P19" i="1"/>
  <c r="S18" i="1"/>
  <c r="V18" i="1" s="1"/>
  <c r="P18" i="1"/>
  <c r="V4" i="1" l="1"/>
  <c r="V44" i="1"/>
  <c r="R28" i="1"/>
  <c r="Q18" i="1"/>
  <c r="R18" i="1"/>
  <c r="R20" i="1"/>
  <c r="R19" i="1"/>
  <c r="R33" i="1"/>
  <c r="R39" i="1"/>
  <c r="R36" i="1"/>
  <c r="R23" i="1"/>
  <c r="R34" i="1"/>
  <c r="R22" i="1"/>
  <c r="R35" i="1"/>
  <c r="Q19" i="1"/>
  <c r="R27" i="1"/>
  <c r="R38" i="1"/>
  <c r="R41" i="1"/>
  <c r="R30" i="1"/>
  <c r="Q22" i="1"/>
  <c r="R26" i="1"/>
  <c r="S12" i="1"/>
  <c r="V12" i="1" s="1"/>
  <c r="R25" i="1"/>
  <c r="Q39" i="1"/>
  <c r="Q27" i="1"/>
  <c r="R31" i="1"/>
  <c r="R42" i="1"/>
  <c r="Q24" i="1"/>
  <c r="Q32" i="1"/>
  <c r="Q40" i="1"/>
  <c r="R24" i="1"/>
  <c r="R32" i="1"/>
  <c r="R40" i="1"/>
  <c r="R43" i="1"/>
  <c r="R21" i="1"/>
  <c r="R29" i="1"/>
  <c r="R37" i="1"/>
  <c r="Q36" i="1"/>
</calcChain>
</file>

<file path=xl/sharedStrings.xml><?xml version="1.0" encoding="utf-8"?>
<sst xmlns="http://schemas.openxmlformats.org/spreadsheetml/2006/main" count="86" uniqueCount="50">
  <si>
    <t>Topics</t>
  </si>
  <si>
    <t>GDP AT MARKET PRICES</t>
  </si>
  <si>
    <t>GDP deflator</t>
  </si>
  <si>
    <t>Real GDP</t>
  </si>
  <si>
    <t>GDP growth</t>
  </si>
  <si>
    <t>Midyear pop</t>
  </si>
  <si>
    <t>GDP per capita</t>
  </si>
  <si>
    <t>Variable</t>
  </si>
  <si>
    <t>1b</t>
  </si>
  <si>
    <t>1c</t>
  </si>
  <si>
    <t>1d</t>
  </si>
  <si>
    <t>1e</t>
  </si>
  <si>
    <t>1f</t>
  </si>
  <si>
    <t>1g</t>
  </si>
  <si>
    <t>1h</t>
  </si>
  <si>
    <t>1i</t>
  </si>
  <si>
    <t>6a</t>
  </si>
  <si>
    <t>6b</t>
  </si>
  <si>
    <t>6c</t>
  </si>
  <si>
    <t>6d</t>
  </si>
  <si>
    <t>Year</t>
  </si>
  <si>
    <t>GDP at market prices</t>
  </si>
  <si>
    <t xml:space="preserve"> Final
 con-sumption</t>
  </si>
  <si>
    <t>House-
hold</t>
  </si>
  <si>
    <t>Govern-
ment</t>
  </si>
  <si>
    <t xml:space="preserve">Gross capital formation </t>
  </si>
  <si>
    <t>Private</t>
  </si>
  <si>
    <t>Public</t>
  </si>
  <si>
    <t xml:space="preserve">Exports of goods and services </t>
  </si>
  <si>
    <t>Imports of goods and services</t>
  </si>
  <si>
    <t>GDP deflator (2013 = 100)</t>
  </si>
  <si>
    <t>Real gross domestic product</t>
  </si>
  <si>
    <t>GDP growth (%), Nominal</t>
  </si>
  <si>
    <t>GDP growth (%), Real</t>
  </si>
  <si>
    <t xml:space="preserve">Mid-year population </t>
  </si>
  <si>
    <t xml:space="preserve"> GDP per capita, in Afl. </t>
  </si>
  <si>
    <t xml:space="preserve"> GDP per capita, in US$</t>
  </si>
  <si>
    <t>% Change</t>
  </si>
  <si>
    <t>Real GDP per capita</t>
  </si>
  <si>
    <t>Since 2000</t>
  </si>
  <si>
    <t>CBA Table A1 (Sep 2026); real GDP chain-linked by KvK on CBA real growth</t>
  </si>
  <si>
    <t>CBA Table A1 (Sep 2026); real growth 2000 = KvK working figure (CBA series break)</t>
  </si>
  <si>
    <t>CBA Table A1 (Sep 2026)</t>
  </si>
  <si>
    <t>CBA Table A1 (Sep 2026); 2024 preliminary</t>
  </si>
  <si>
    <t>CBA Economic Outlook, September 2026 (Table 4.1 baseline); estimate</t>
  </si>
  <si>
    <t>CBA Economic Outlook, September 2026 (Table 4.1 baseline); forecast</t>
  </si>
  <si>
    <t>Source</t>
  </si>
  <si>
    <t>Index real GDP (1986 = 100)</t>
  </si>
  <si>
    <t>Index real GDP per capita (1986 = 100)</t>
  </si>
  <si>
    <t>Real GDP as published by CBA (Afl. million, pre-2000 base)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</si>
</sst>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(* #,##0_);_(* \(#,##0\);_(* &quot;-&quot;??_);_(@_)"/>
    <numFmt numFmtId="165" formatCode="#,##0.0"/>
    <numFmt numFmtId="166" formatCode="0.0%"/>
    <numFmt numFmtId="168" formatCode="0.0"/>
  </numFmts>
  <fonts count="1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10"/>
      <color theme="0"/>
      <name val="Aptos Narrow"/>
      <family val="2"/>
      <scheme val="minor"/>
    </font>
    <font>
      <b/>
      <sz val="8"/>
      <color theme="0"/>
      <name val="Aptos Narrow"/>
      <family val="2"/>
      <scheme val="minor"/>
    </font>
    <font>
      <b/>
      <sz val="9"/>
      <name val="Aptos Narrow"/>
      <family val="2"/>
      <scheme val="minor"/>
    </font>
    <font>
      <sz val="9"/>
      <color theme="0"/>
      <name val="Aptos Narrow"/>
      <family val="2"/>
      <scheme val="minor"/>
    </font>
    <font>
      <sz val="10"/>
      <name val="Aptos Narrow"/>
      <family val="2"/>
      <scheme val="minor"/>
    </font>
    <font>
      <sz val="9"/>
      <name val="Aptos Narrow"/>
      <family val="2"/>
      <scheme val="minor"/>
    </font>
    <font>
      <sz val="9"/>
      <color rgb="FF002060"/>
      <name val="Aptos Narrow"/>
      <family val="2"/>
      <scheme val="minor"/>
    </font>
    <font>
      <sz val="9"/>
      <color rgb="FF00B050"/>
      <name val="Aptos Narrow"/>
      <family val="2"/>
      <scheme val="minor"/>
    </font>
    <font>
      <sz val="10"/>
      <color rgb="FF00B050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</cellStyleXfs>
  <cellXfs count="32">
    <xf numFmtId="0" fontId="0" fillId="0" borderId="0" xfId="0"/>
    <xf numFmtId="0" fontId="3" fillId="2" borderId="1" xfId="3" applyFont="1" applyFill="1" applyBorder="1" applyAlignment="1">
      <alignment horizontal="left" vertical="center" wrapText="1" indent="1"/>
    </xf>
    <xf numFmtId="0" fontId="3" fillId="2" borderId="2" xfId="3" applyFont="1" applyFill="1" applyBorder="1" applyAlignment="1">
      <alignment horizontal="center" vertical="center" wrapText="1"/>
    </xf>
    <xf numFmtId="0" fontId="3" fillId="2" borderId="3" xfId="3" applyFont="1" applyFill="1" applyBorder="1" applyAlignment="1">
      <alignment horizontal="center" vertical="center" wrapText="1"/>
    </xf>
    <xf numFmtId="0" fontId="3" fillId="2" borderId="4" xfId="3" applyFont="1" applyFill="1" applyBorder="1" applyAlignment="1">
      <alignment horizontal="center" vertical="center" wrapText="1"/>
    </xf>
    <xf numFmtId="0" fontId="4" fillId="2" borderId="1" xfId="3" applyFont="1" applyFill="1" applyBorder="1" applyAlignment="1">
      <alignment horizontal="center" vertical="center" wrapText="1"/>
    </xf>
    <xf numFmtId="0" fontId="5" fillId="3" borderId="1" xfId="3" applyFont="1" applyFill="1" applyBorder="1" applyAlignment="1">
      <alignment horizontal="center" vertical="center" wrapText="1"/>
    </xf>
    <xf numFmtId="0" fontId="6" fillId="4" borderId="1" xfId="3" applyFont="1" applyFill="1" applyBorder="1" applyAlignment="1">
      <alignment horizontal="center" vertical="top" wrapText="1"/>
    </xf>
    <xf numFmtId="1" fontId="6" fillId="4" borderId="0" xfId="3" applyNumberFormat="1" applyFont="1" applyFill="1" applyAlignment="1">
      <alignment horizontal="right"/>
    </xf>
    <xf numFmtId="164" fontId="7" fillId="5" borderId="5" xfId="1" applyNumberFormat="1" applyFont="1" applyFill="1" applyBorder="1"/>
    <xf numFmtId="165" fontId="8" fillId="5" borderId="0" xfId="0" applyNumberFormat="1" applyFont="1" applyFill="1"/>
    <xf numFmtId="166" fontId="9" fillId="5" borderId="0" xfId="2" applyNumberFormat="1" applyFont="1" applyFill="1"/>
    <xf numFmtId="166" fontId="7" fillId="5" borderId="0" xfId="2" applyNumberFormat="1" applyFont="1" applyFill="1"/>
    <xf numFmtId="165" fontId="7" fillId="5" borderId="0" xfId="0" applyNumberFormat="1" applyFont="1" applyFill="1"/>
    <xf numFmtId="1" fontId="6" fillId="4" borderId="0" xfId="3" applyNumberFormat="1" applyFont="1" applyFill="1"/>
    <xf numFmtId="165" fontId="7" fillId="5" borderId="0" xfId="0" applyNumberFormat="1" applyFont="1" applyFill="1" applyProtection="1">
      <protection locked="0"/>
    </xf>
    <xf numFmtId="165" fontId="7" fillId="5" borderId="0" xfId="3" applyNumberFormat="1" applyFont="1" applyFill="1" applyProtection="1">
      <protection locked="0"/>
    </xf>
    <xf numFmtId="3" fontId="7" fillId="5" borderId="0" xfId="0" applyNumberFormat="1" applyFont="1" applyFill="1" applyProtection="1">
      <protection locked="0"/>
    </xf>
    <xf numFmtId="1" fontId="9" fillId="5" borderId="0" xfId="0" applyNumberFormat="1" applyFont="1" applyFill="1"/>
    <xf numFmtId="166" fontId="7" fillId="5" borderId="0" xfId="0" applyNumberFormat="1" applyFont="1" applyFill="1"/>
    <xf numFmtId="10" fontId="7" fillId="5" borderId="0" xfId="0" applyNumberFormat="1" applyFont="1" applyFill="1" applyProtection="1">
      <protection locked="0"/>
    </xf>
    <xf numFmtId="164" fontId="7" fillId="5" borderId="5" xfId="1" applyNumberFormat="1" applyFont="1" applyFill="1" applyBorder="1" applyAlignment="1">
      <alignment horizontal="center" vertical="top" wrapText="1"/>
    </xf>
    <xf numFmtId="164" fontId="7" fillId="5" borderId="5" xfId="1" applyNumberFormat="1" applyFont="1" applyFill="1" applyBorder="1" applyAlignment="1" applyProtection="1">
      <alignment horizontal="center" vertical="top" wrapText="1"/>
      <protection locked="0"/>
    </xf>
    <xf numFmtId="164" fontId="7" fillId="5" borderId="5" xfId="1" applyNumberFormat="1" applyFont="1" applyFill="1" applyBorder="1" applyAlignment="1" applyProtection="1">
      <protection locked="0"/>
    </xf>
    <xf numFmtId="164" fontId="7" fillId="5" borderId="6" xfId="1" applyNumberFormat="1" applyFont="1" applyFill="1" applyBorder="1" applyAlignment="1" applyProtection="1">
      <protection locked="0"/>
    </xf>
    <xf numFmtId="0" fontId="10" fillId="4" borderId="1" xfId="3" applyFont="1" applyFill="1" applyBorder="1" applyAlignment="1">
      <alignment horizontal="center" vertical="top" wrapText="1"/>
    </xf>
    <xf numFmtId="164" fontId="11" fillId="5" borderId="7" xfId="1" applyNumberFormat="1" applyFont="1" applyFill="1" applyBorder="1" applyAlignment="1">
      <alignment horizontal="center" vertical="top" wrapText="1"/>
    </xf>
    <xf numFmtId="164" fontId="11" fillId="5" borderId="5" xfId="1" applyNumberFormat="1" applyFont="1" applyFill="1" applyBorder="1"/>
    <xf numFmtId="3" fontId="11" fillId="5" borderId="0" xfId="0" applyNumberFormat="1" applyFont="1" applyFill="1"/>
    <xf numFmtId="168" fontId="8" fillId="5" borderId="0" xfId="0" applyNumberFormat="1" applyFont="1" applyFill="1"/>
    <xf numFmtId="164" fontId="7" fillId="5" borderId="0" xfId="1" applyNumberFormat="1" applyFont="1" applyFill="1" applyBorder="1"/>
    <xf numFmtId="0" fontId="6" fillId="0" borderId="1" xfId="3" applyFont="1" applyFill="1" applyBorder="1" applyAlignment="1">
      <alignment horizontal="center" vertical="top" wrapText="1"/>
    </xf>
  </cellXfs>
  <cellStyles count="4">
    <cellStyle name="Comma" xfId="1" builtinId="3"/>
    <cellStyle name="Normal" xfId="0" builtinId="0"/>
    <cellStyle name="Normal 3" xfId="3" xr:uid="{3DE76C9D-A733-46F3-AE9C-524F66644D12}"/>
    <cellStyle name="Percent" xfId="2" builtinId="5"/>
  </cellStyles>
  <dxfs count="4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B050"/>
        <name val="Aptos Narrow"/>
        <family val="2"/>
        <scheme val="minor"/>
      </font>
      <numFmt numFmtId="3" formatCode="#,##0"/>
      <fill>
        <patternFill patternType="solid">
          <fgColor indexed="64"/>
          <bgColor theme="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B050"/>
        <name val="Aptos Narrow"/>
        <family val="2"/>
        <scheme val="minor"/>
      </font>
      <numFmt numFmtId="164" formatCode="_(* #,##0_);_(* \(#,##0\);_(* &quot;-&quot;??_);_(@_)"/>
      <fill>
        <patternFill patternType="solid">
          <fgColor indexed="64"/>
          <bgColor theme="0"/>
        </patternFill>
      </fill>
      <border diagonalUp="0" diagonalDown="0" outline="0">
        <left/>
        <right style="thin">
          <color theme="0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auto="1"/>
        <name val="Aptos Narrow"/>
        <scheme val="minor"/>
      </font>
      <numFmt numFmtId="164" formatCode="_(* #,##0_);_(* \(#,##0\);_(* &quot;-&quot;??_);_(@_)"/>
      <fill>
        <patternFill patternType="solid">
          <fgColor indexed="64"/>
          <bgColor theme="0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 Narrow"/>
        <family val="2"/>
        <scheme val="minor"/>
      </font>
      <numFmt numFmtId="166" formatCode="0.0%"/>
      <fill>
        <patternFill patternType="solid"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9"/>
        <color rgb="FF002060"/>
        <name val="Aptos Narrow"/>
        <scheme val="minor"/>
      </font>
      <numFmt numFmtId="165" formatCode="#,##0.0"/>
      <fill>
        <patternFill patternType="solid">
          <fgColor indexed="64"/>
          <bgColor theme="0"/>
        </patternFill>
      </fill>
      <alignment horizontal="general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 Narrow"/>
        <family val="2"/>
        <scheme val="minor"/>
      </font>
      <numFmt numFmtId="165" formatCode="#,##0.0"/>
      <fill>
        <patternFill patternType="solid">
          <fgColor indexed="64"/>
          <bgColor theme="0"/>
        </patternFill>
      </fill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 Narrow"/>
        <scheme val="minor"/>
      </font>
      <numFmt numFmtId="164" formatCode="_(* #,##0_);_(* \(#,##0\);_(* &quot;-&quot;??_);_(@_)"/>
      <fill>
        <patternFill patternType="solid">
          <fgColor indexed="64"/>
          <bgColor theme="0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 Narrow"/>
        <family val="2"/>
        <scheme val="minor"/>
      </font>
      <numFmt numFmtId="3" formatCode="#,##0"/>
      <fill>
        <patternFill patternType="solid">
          <fgColor indexed="64"/>
          <bgColor theme="0"/>
        </patternFill>
      </fill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 Narrow"/>
        <scheme val="minor"/>
      </font>
      <numFmt numFmtId="164" formatCode="_(* #,##0_);_(* \(#,##0\);_(* &quot;-&quot;??_);_(@_)"/>
      <fill>
        <patternFill patternType="solid">
          <fgColor indexed="64"/>
          <bgColor theme="0"/>
        </patternFill>
      </fill>
      <border diagonalUp="0" diagonalDown="0" outline="0">
        <left style="thin">
          <color theme="0"/>
        </left>
        <right style="thin">
          <color theme="0"/>
        </right>
        <top/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 Narrow"/>
        <family val="2"/>
        <scheme val="minor"/>
      </font>
      <numFmt numFmtId="3" formatCode="#,##0"/>
      <fill>
        <patternFill patternType="solid">
          <fgColor indexed="64"/>
          <bgColor theme="0"/>
        </patternFill>
      </fill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ptos Narrow"/>
        <family val="2"/>
        <scheme val="minor"/>
      </font>
      <numFmt numFmtId="3" formatCode="#,##0"/>
      <fill>
        <patternFill patternType="solid">
          <fgColor indexed="64"/>
          <bgColor theme="0"/>
        </patternFill>
      </fill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 Narrow"/>
        <family val="2"/>
        <scheme val="minor"/>
      </font>
      <numFmt numFmtId="3" formatCode="#,##0"/>
      <fill>
        <patternFill patternType="solid">
          <fgColor indexed="64"/>
          <bgColor theme="0"/>
        </patternFill>
      </fill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ptos Narrow"/>
        <family val="2"/>
        <scheme val="minor"/>
      </font>
      <numFmt numFmtId="3" formatCode="#,##0"/>
      <fill>
        <patternFill patternType="solid">
          <fgColor indexed="64"/>
          <bgColor theme="0"/>
        </patternFill>
      </fill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 Narrow"/>
        <family val="2"/>
        <scheme val="minor"/>
      </font>
      <numFmt numFmtId="3" formatCode="#,##0"/>
      <fill>
        <patternFill patternType="solid">
          <fgColor indexed="64"/>
          <bgColor theme="0"/>
        </patternFill>
      </fill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 Narrow"/>
        <scheme val="minor"/>
      </font>
      <numFmt numFmtId="164" formatCode="_(* #,##0_);_(* \(#,##0\);_(* &quot;-&quot;??_);_(@_)"/>
      <fill>
        <patternFill patternType="solid">
          <fgColor indexed="64"/>
          <bgColor theme="0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theme="0"/>
        </left>
        <right/>
        <top/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 Narrow"/>
        <family val="2"/>
        <scheme val="minor"/>
      </font>
      <numFmt numFmtId="166" formatCode="0.0%"/>
      <fill>
        <patternFill patternType="solid">
          <fgColor indexed="64"/>
          <bgColor theme="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 Narrow"/>
        <scheme val="minor"/>
      </font>
      <numFmt numFmtId="164" formatCode="_(* #,##0_);_(* \(#,##0\);_(* &quot;-&quot;??_);_(@_)"/>
      <fill>
        <patternFill patternType="solid">
          <fgColor indexed="64"/>
          <bgColor theme="0"/>
        </patternFill>
      </fill>
      <border diagonalUp="0" diagonalDown="0" outline="0">
        <left style="thin">
          <color theme="0"/>
        </left>
        <right style="thin">
          <color theme="0"/>
        </right>
        <top/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 Narrow"/>
        <family val="2"/>
        <scheme val="minor"/>
      </font>
      <numFmt numFmtId="3" formatCode="#,##0"/>
      <fill>
        <patternFill patternType="solid">
          <fgColor indexed="64"/>
          <bgColor theme="0"/>
        </patternFill>
      </fill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 Narrow"/>
        <scheme val="minor"/>
      </font>
      <numFmt numFmtId="164" formatCode="_(* #,##0_);_(* \(#,##0\);_(* &quot;-&quot;??_);_(@_)"/>
      <fill>
        <patternFill patternType="solid">
          <fgColor indexed="64"/>
          <bgColor theme="0"/>
        </patternFill>
      </fill>
      <border diagonalUp="0" diagonalDown="0" outline="0">
        <left style="thin">
          <color theme="0"/>
        </left>
        <right style="thin">
          <color theme="0"/>
        </right>
        <top/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 Narrow"/>
        <family val="2"/>
        <scheme val="minor"/>
      </font>
      <numFmt numFmtId="3" formatCode="#,##0"/>
      <fill>
        <patternFill patternType="solid">
          <fgColor indexed="64"/>
          <bgColor theme="0"/>
        </patternFill>
      </fill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 Narrow"/>
        <scheme val="minor"/>
      </font>
      <numFmt numFmtId="164" formatCode="_(* #,##0_);_(* \(#,##0\);_(* &quot;-&quot;??_);_(@_)"/>
      <fill>
        <patternFill patternType="solid">
          <fgColor indexed="64"/>
          <bgColor theme="0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 Narrow"/>
        <family val="2"/>
        <scheme val="minor"/>
      </font>
      <numFmt numFmtId="3" formatCode="#,##0"/>
      <fill>
        <patternFill patternType="solid">
          <fgColor indexed="64"/>
          <bgColor theme="0"/>
        </patternFill>
      </fill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 Narrow"/>
        <scheme val="minor"/>
      </font>
      <numFmt numFmtId="164" formatCode="_(* #,##0_);_(* \(#,##0\);_(* &quot;-&quot;??_);_(@_)"/>
      <fill>
        <patternFill patternType="solid">
          <fgColor indexed="64"/>
          <bgColor theme="0"/>
        </patternFill>
      </fill>
      <border diagonalUp="0" diagonalDown="0" outline="0">
        <left style="thin">
          <color theme="0"/>
        </left>
        <right style="thin">
          <color theme="0"/>
        </right>
        <top/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 Narrow"/>
        <family val="2"/>
        <scheme val="minor"/>
      </font>
      <numFmt numFmtId="3" formatCode="#,##0"/>
      <fill>
        <patternFill patternType="solid">
          <fgColor indexed="64"/>
          <bgColor theme="0"/>
        </patternFill>
      </fill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 Narrow"/>
        <scheme val="minor"/>
      </font>
      <numFmt numFmtId="164" formatCode="_(* #,##0_);_(* \(#,##0\);_(* &quot;-&quot;??_);_(@_)"/>
      <fill>
        <patternFill patternType="solid">
          <fgColor indexed="64"/>
          <bgColor theme="0"/>
        </patternFill>
      </fill>
      <border diagonalUp="0" diagonalDown="0" outline="0">
        <left style="thin">
          <color theme="0"/>
        </left>
        <right style="thin">
          <color theme="0"/>
        </right>
        <top/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 Narrow"/>
        <family val="2"/>
        <scheme val="minor"/>
      </font>
      <numFmt numFmtId="3" formatCode="#,##0"/>
      <fill>
        <patternFill patternType="solid">
          <fgColor indexed="64"/>
          <bgColor theme="0"/>
        </patternFill>
      </fill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 Narrow"/>
        <scheme val="minor"/>
      </font>
      <numFmt numFmtId="164" formatCode="_(* #,##0_);_(* \(#,##0\);_(* &quot;-&quot;??_);_(@_)"/>
      <fill>
        <patternFill patternType="solid">
          <fgColor indexed="64"/>
          <bgColor theme="0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 Narrow"/>
        <family val="2"/>
        <scheme val="minor"/>
      </font>
      <numFmt numFmtId="3" formatCode="#,##0"/>
      <fill>
        <patternFill patternType="solid">
          <fgColor indexed="64"/>
          <bgColor theme="0"/>
        </patternFill>
      </fill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 Narrow"/>
        <scheme val="minor"/>
      </font>
      <numFmt numFmtId="164" formatCode="_(* #,##0_);_(* \(#,##0\);_(* &quot;-&quot;??_);_(@_)"/>
      <fill>
        <patternFill patternType="solid">
          <fgColor indexed="64"/>
          <bgColor theme="0"/>
        </patternFill>
      </fill>
      <border diagonalUp="0" diagonalDown="0" outline="0">
        <left style="thin">
          <color theme="0"/>
        </left>
        <right style="thin">
          <color theme="0"/>
        </right>
        <top/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 Narrow"/>
        <family val="2"/>
        <scheme val="minor"/>
      </font>
      <numFmt numFmtId="3" formatCode="#,##0"/>
      <fill>
        <patternFill patternType="solid">
          <fgColor indexed="64"/>
          <bgColor theme="0"/>
        </patternFill>
      </fill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 Narrow"/>
        <scheme val="minor"/>
      </font>
      <numFmt numFmtId="164" formatCode="_(* #,##0_);_(* \(#,##0\);_(* &quot;-&quot;??_);_(@_)"/>
      <fill>
        <patternFill patternType="solid">
          <fgColor indexed="64"/>
          <bgColor theme="0"/>
        </patternFill>
      </fill>
      <border diagonalUp="0" diagonalDown="0" outline="0">
        <left style="thin">
          <color theme="0"/>
        </left>
        <right style="thin">
          <color theme="0"/>
        </right>
        <top/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 Narrow"/>
        <family val="2"/>
        <scheme val="minor"/>
      </font>
      <numFmt numFmtId="3" formatCode="#,##0"/>
      <fill>
        <patternFill patternType="solid">
          <fgColor indexed="64"/>
          <bgColor theme="0"/>
        </patternFill>
      </fill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 Narrow"/>
        <scheme val="minor"/>
      </font>
      <numFmt numFmtId="164" formatCode="_(* #,##0_);_(* \(#,##0\);_(* &quot;-&quot;??_);_(@_)"/>
      <fill>
        <patternFill patternType="solid">
          <fgColor indexed="64"/>
          <bgColor theme="0"/>
        </patternFill>
      </fill>
      <border diagonalUp="0" diagonalDown="0" outline="0">
        <left style="thin">
          <color theme="0"/>
        </left>
        <right style="thin">
          <color theme="0"/>
        </right>
        <top/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 Narrow"/>
        <family val="2"/>
        <scheme val="minor"/>
      </font>
      <numFmt numFmtId="14" formatCode="0.00%"/>
      <fill>
        <patternFill patternType="solid">
          <fgColor indexed="64"/>
          <bgColor theme="0"/>
        </patternFill>
      </fill>
      <protection locked="0" hidden="0"/>
    </dxf>
    <dxf>
      <font>
        <strike val="0"/>
        <outline val="0"/>
        <shadow val="0"/>
        <u val="none"/>
        <vertAlign val="baseline"/>
        <sz val="10"/>
        <color auto="1"/>
        <name val="Aptos Narrow"/>
        <scheme val="minor"/>
      </font>
      <numFmt numFmtId="164" formatCode="_(* #,##0_);_(* \(#,##0\);_(* &quot;-&quot;??_);_(@_)"/>
      <fill>
        <patternFill patternType="solid">
          <fgColor indexed="64"/>
          <bgColor theme="0"/>
        </patternFill>
      </fill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 Narrow"/>
        <family val="2"/>
        <scheme val="minor"/>
      </font>
      <numFmt numFmtId="166" formatCode="0.0%"/>
      <fill>
        <patternFill patternType="solid"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9"/>
        <color theme="0"/>
        <name val="Aptos Narrow"/>
        <family val="2"/>
        <scheme val="minor"/>
      </font>
      <numFmt numFmtId="1" formatCode="0"/>
      <fill>
        <patternFill patternType="solid">
          <fgColor indexed="64"/>
          <bgColor rgb="FF00206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2060"/>
        <name val="Aptos Narrow"/>
        <family val="2"/>
        <scheme val="minor"/>
      </font>
      <numFmt numFmtId="1" formatCode="0"/>
      <fill>
        <patternFill patternType="solid"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9"/>
        <color rgb="FF002060"/>
        <name val="Aptos Narrow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ptos Narrow"/>
        <scheme val="minor"/>
      </font>
      <fill>
        <patternFill>
          <fgColor indexed="64"/>
          <bgColor theme="3" tint="0.79998168889431442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6384912-94EB-4F38-A806-503D6B2F2ED2}" name="WebDataS1" displayName="WebDataS1" ref="A3:S46" totalsRowCount="1" headerRowDxfId="39" dataDxfId="38" headerRowCellStyle="Normal 3" dataCellStyle="Normal 3">
  <tableColumns count="19">
    <tableColumn id="1" xr3:uid="{3E146580-AFCB-4D72-A9DA-64EA755B6E00}" name="Year" totalsRowLabel="Since 2000" dataDxfId="36" totalsRowDxfId="37" dataCellStyle="Normal 3"/>
    <tableColumn id="2" xr3:uid="{756D1AC5-EA7B-4F53-AC3E-A08A02D049F2}" name="GDP at market prices" totalsRowFunction="custom" dataDxfId="34" totalsRowDxfId="35" dataCellStyle="Comma">
      <totalsRowFormula>+(B45-B19)/B19</totalsRowFormula>
    </tableColumn>
    <tableColumn id="39" xr3:uid="{BEC9904A-4008-4E18-ACF6-16F9B424D46E}" name=" Final_x000a_ con-sumption" dataDxfId="32" totalsRowDxfId="33" dataCellStyle="Comma"/>
    <tableColumn id="30" xr3:uid="{0C811785-E346-4739-8C9B-AE969CB1BEE9}" name="House-_x000a_hold" dataDxfId="30" totalsRowDxfId="31" dataCellStyle="Comma"/>
    <tableColumn id="24" xr3:uid="{422216DB-A4F2-4816-AF24-494D6221EB5C}" name="Govern-_x000a_ment" dataDxfId="28" totalsRowDxfId="29" dataCellStyle="Comma"/>
    <tableColumn id="13" xr3:uid="{7D9658F8-34B4-49C6-93AD-7464EFADD6CF}" name="Gross capital formation " dataDxfId="26" totalsRowDxfId="27" dataCellStyle="Comma">
      <calculatedColumnFormula>+WebDataS1[[#This Row],[Private]]+WebDataS1[[#This Row],[Public]]</calculatedColumnFormula>
    </tableColumn>
    <tableColumn id="33" xr3:uid="{BA6FC647-81C4-46EE-AFE0-0DDED1EF8BB9}" name="Private" dataDxfId="24" totalsRowDxfId="25" dataCellStyle="Comma"/>
    <tableColumn id="25" xr3:uid="{9BAB7E85-0E4B-4E83-ACB8-1D2F9F3E5D50}" name="Public" dataDxfId="22" totalsRowDxfId="23" dataCellStyle="Comma"/>
    <tableColumn id="16" xr3:uid="{7DEC504E-87B1-4400-92A8-102F16667B9A}" name="Exports of goods and services " dataDxfId="20" totalsRowDxfId="21" dataCellStyle="Comma">
      <calculatedColumnFormula>+WebDataS1[[#This Row],[Imports of goods and services]]+WebDataS1[[#This Row],[GDP deflator (2013 = 100)]]</calculatedColumnFormula>
    </tableColumn>
    <tableColumn id="35" xr3:uid="{13A67C6A-F840-41C5-BDCF-47D6607382D2}" name="Imports of goods and services" dataDxfId="18" totalsRowDxfId="19" dataCellStyle="Comma"/>
    <tableColumn id="34" xr3:uid="{5EA15962-9400-4FAE-925C-32E62F2C4CA6}" name="GDP deflator (2013 = 100)" dataDxfId="16" totalsRowDxfId="17" dataCellStyle="Comma">
      <calculatedColumnFormula>B4/L4*100</calculatedColumnFormula>
    </tableColumn>
    <tableColumn id="20" xr3:uid="{06CAA551-776F-4B1C-AA85-4C69C381519F}" name="Real gross domestic product" totalsRowFunction="custom" dataDxfId="14" totalsRowDxfId="15" dataCellStyle="Comma">
      <totalsRowFormula>+(L45-L19)/L19</totalsRowFormula>
    </tableColumn>
    <tableColumn id="37" xr3:uid="{B55F1C87-09A2-4150-8B78-756D12F834D3}" name="GDP growth (%), Nominal" dataDxfId="12" totalsRowDxfId="13"/>
    <tableColumn id="36" xr3:uid="{36DFF643-2540-49C9-8EB5-57EAC05AEEFB}" name="GDP growth (%), Real" dataDxfId="10" totalsRowDxfId="11"/>
    <tableColumn id="8" xr3:uid="{CF1D1CDF-3DB3-4BB7-A66A-44517272FFD9}" name="Mid-year population " dataDxfId="1" totalsRowDxfId="0" dataCellStyle="Comma"/>
    <tableColumn id="40" xr3:uid="{10821865-AE01-4C17-A7DF-2B3D0A1A17D4}" name=" GDP per capita, in Afl. " dataDxfId="8" totalsRowDxfId="9" dataCellStyle="Comma"/>
    <tableColumn id="14" xr3:uid="{4D9382B0-6AF2-4DBA-89AE-4BC0376410A6}" name=" GDP per capita, in US$" dataDxfId="6" totalsRowDxfId="7" dataCellStyle="Comma"/>
    <tableColumn id="3" xr3:uid="{9E74A29D-BB26-47B0-A0A5-45457040853D}" name="% Change" dataDxfId="4" totalsRowDxfId="5" dataCellStyle="Normal 3">
      <calculatedColumnFormula>+(WebDataS1[[#This Row],[ GDP per capita, in Afl. ]]-P3)/P3</calculatedColumnFormula>
    </tableColumn>
    <tableColumn id="4" xr3:uid="{D89E71F4-81F5-415C-97A6-BB4146A91893}" name="Real GDP per capita" totalsRowFunction="custom" dataDxfId="2" totalsRowDxfId="3" dataCellStyle="Comma">
      <calculatedColumnFormula>+(L4*1000000)/(O4)</calculatedColumnFormula>
      <totalsRowFormula>+(S43-S19)/S19</totalsRowFormula>
    </tableColumn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E0FE44-E5F1-4420-8D37-E84112A05EEF}">
  <dimension ref="A1:Y46"/>
  <sheetViews>
    <sheetView showGridLines="0" tabSelected="1" topLeftCell="A27" zoomScale="115" zoomScaleNormal="115" workbookViewId="0">
      <selection activeCell="R48" sqref="R48"/>
    </sheetView>
  </sheetViews>
  <sheetFormatPr defaultRowHeight="15" x14ac:dyDescent="0.25"/>
  <cols>
    <col min="20" max="20" width="3" customWidth="1"/>
    <col min="21" max="21" width="8.42578125" bestFit="1" customWidth="1"/>
    <col min="22" max="22" width="9.5703125" bestFit="1" customWidth="1"/>
    <col min="23" max="23" width="12.42578125" bestFit="1" customWidth="1"/>
    <col min="24" max="24" width="6" customWidth="1"/>
  </cols>
  <sheetData>
    <row r="1" spans="1:25" ht="27" x14ac:dyDescent="0.25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4"/>
      <c r="K1" s="5" t="s">
        <v>2</v>
      </c>
      <c r="L1" s="1" t="s">
        <v>3</v>
      </c>
      <c r="M1" s="2" t="s">
        <v>4</v>
      </c>
      <c r="N1" s="4"/>
      <c r="O1" s="5" t="s">
        <v>5</v>
      </c>
      <c r="P1" s="2" t="s">
        <v>6</v>
      </c>
      <c r="Q1" s="3"/>
      <c r="R1" s="3"/>
      <c r="S1" s="4"/>
    </row>
    <row r="2" spans="1:25" x14ac:dyDescent="0.25">
      <c r="A2" s="6" t="s">
        <v>7</v>
      </c>
      <c r="B2" s="6">
        <v>1</v>
      </c>
      <c r="C2" s="6" t="s">
        <v>8</v>
      </c>
      <c r="D2" s="6" t="s">
        <v>9</v>
      </c>
      <c r="E2" s="6" t="s">
        <v>10</v>
      </c>
      <c r="F2" s="6" t="s">
        <v>11</v>
      </c>
      <c r="G2" s="6" t="s">
        <v>12</v>
      </c>
      <c r="H2" s="6" t="s">
        <v>13</v>
      </c>
      <c r="I2" s="6" t="s">
        <v>14</v>
      </c>
      <c r="J2" s="6" t="s">
        <v>15</v>
      </c>
      <c r="K2" s="6">
        <v>2</v>
      </c>
      <c r="L2" s="6">
        <v>3</v>
      </c>
      <c r="M2" s="6">
        <v>4</v>
      </c>
      <c r="N2" s="6">
        <v>4</v>
      </c>
      <c r="O2" s="6">
        <v>5</v>
      </c>
      <c r="P2" s="6" t="s">
        <v>16</v>
      </c>
      <c r="Q2" s="6" t="s">
        <v>17</v>
      </c>
      <c r="R2" s="6" t="s">
        <v>18</v>
      </c>
      <c r="S2" s="6" t="s">
        <v>19</v>
      </c>
    </row>
    <row r="3" spans="1:25" ht="54.75" customHeight="1" x14ac:dyDescent="0.25">
      <c r="A3" s="7" t="s">
        <v>20</v>
      </c>
      <c r="B3" s="25" t="s">
        <v>21</v>
      </c>
      <c r="C3" s="25" t="s">
        <v>22</v>
      </c>
      <c r="D3" s="7" t="s">
        <v>23</v>
      </c>
      <c r="E3" s="7" t="s">
        <v>24</v>
      </c>
      <c r="F3" s="7" t="s">
        <v>25</v>
      </c>
      <c r="G3" s="7" t="s">
        <v>26</v>
      </c>
      <c r="H3" s="7" t="s">
        <v>27</v>
      </c>
      <c r="I3" s="7" t="s">
        <v>28</v>
      </c>
      <c r="J3" s="7" t="s">
        <v>29</v>
      </c>
      <c r="K3" s="25" t="s">
        <v>30</v>
      </c>
      <c r="L3" s="7" t="s">
        <v>31</v>
      </c>
      <c r="M3" s="25" t="s">
        <v>32</v>
      </c>
      <c r="N3" s="7" t="s">
        <v>33</v>
      </c>
      <c r="O3" s="25" t="s">
        <v>34</v>
      </c>
      <c r="P3" s="25" t="s">
        <v>35</v>
      </c>
      <c r="Q3" s="25" t="s">
        <v>36</v>
      </c>
      <c r="R3" s="7" t="s">
        <v>37</v>
      </c>
      <c r="S3" s="25" t="s">
        <v>38</v>
      </c>
      <c r="U3" s="7" t="s">
        <v>47</v>
      </c>
      <c r="V3" s="7" t="s">
        <v>48</v>
      </c>
      <c r="W3" s="7" t="s">
        <v>49</v>
      </c>
      <c r="X3" s="31"/>
      <c r="Y3" s="7" t="s">
        <v>46</v>
      </c>
    </row>
    <row r="4" spans="1:25" x14ac:dyDescent="0.25">
      <c r="A4" s="8">
        <v>1986</v>
      </c>
      <c r="B4" s="21">
        <v>725.77951664025341</v>
      </c>
      <c r="C4" s="22"/>
      <c r="D4" s="22"/>
      <c r="E4" s="22"/>
      <c r="F4" s="23">
        <f>+WebDataS1[[#This Row],[Private]]+WebDataS1[[#This Row],[Public]]</f>
        <v>0</v>
      </c>
      <c r="G4" s="22"/>
      <c r="H4" s="22"/>
      <c r="I4" s="23">
        <f>+WebDataS1[[#This Row],[Imports of goods and services]]+WebDataS1[[#This Row],[GDP deflator (2013 = 100)]]</f>
        <v>43.334313995746079</v>
      </c>
      <c r="J4" s="22"/>
      <c r="K4" s="10">
        <f>B4/L4*100</f>
        <v>43.334313995746079</v>
      </c>
      <c r="L4" s="24">
        <v>1674.837904925643</v>
      </c>
      <c r="M4" s="10">
        <v>1.8396846254927768</v>
      </c>
      <c r="N4" s="10">
        <v>0.73163662264370544</v>
      </c>
      <c r="O4" s="26">
        <v>60861</v>
      </c>
      <c r="P4" s="9">
        <f>+WebDataS1[[#This Row],[GDP at market prices]]/WebDataS1[[#This Row],[Mid-year population ]]*1000000</f>
        <v>11925.198676332189</v>
      </c>
      <c r="Q4" s="9">
        <f t="shared" ref="Q4:Q17" si="0">+P4/1.79</f>
        <v>6662.1221655487088</v>
      </c>
      <c r="R4" s="11"/>
      <c r="S4" s="23">
        <f t="shared" ref="S4:S5" si="1">+(L4*1000000)/(O4)</f>
        <v>27519.066478132841</v>
      </c>
      <c r="U4" s="29">
        <f>L4/$L$4*100</f>
        <v>100</v>
      </c>
      <c r="V4" s="10">
        <f>IF(O4="","",S4/$S$4*100)</f>
        <v>100</v>
      </c>
      <c r="W4" s="9">
        <v>1275</v>
      </c>
      <c r="X4" s="30"/>
      <c r="Y4" t="s">
        <v>40</v>
      </c>
    </row>
    <row r="5" spans="1:25" x14ac:dyDescent="0.25">
      <c r="A5" s="8">
        <v>1987</v>
      </c>
      <c r="B5" s="21">
        <v>872.80839936608538</v>
      </c>
      <c r="C5" s="22"/>
      <c r="D5" s="22"/>
      <c r="E5" s="22"/>
      <c r="F5" s="23">
        <f>+WebDataS1[[#This Row],[Private]]+WebDataS1[[#This Row],[Public]]</f>
        <v>0</v>
      </c>
      <c r="G5" s="22"/>
      <c r="H5" s="22"/>
      <c r="I5" s="23">
        <f>+WebDataS1[[#This Row],[Imports of goods and services]]+WebDataS1[[#This Row],[GDP deflator (2013 = 100)]]</f>
        <v>44.894349299592932</v>
      </c>
      <c r="J5" s="22"/>
      <c r="K5" s="10">
        <f t="shared" ref="K5:K45" si="2">B5/L5*100</f>
        <v>44.894349299592932</v>
      </c>
      <c r="L5" s="24">
        <v>1944.1386566081699</v>
      </c>
      <c r="M5" s="10">
        <f>(B5-B4)/B4*100</f>
        <v>20.258064516129032</v>
      </c>
      <c r="N5" s="10">
        <v>16.079212853406432</v>
      </c>
      <c r="O5" s="26">
        <v>60178</v>
      </c>
      <c r="P5" s="9">
        <f>+WebDataS1[[#This Row],[GDP at market prices]]/WebDataS1[[#This Row],[Mid-year population ]]*1000000</f>
        <v>14503.778779056887</v>
      </c>
      <c r="Q5" s="9">
        <f t="shared" si="0"/>
        <v>8102.6697089703275</v>
      </c>
      <c r="R5" s="11">
        <f>+(WebDataS1[[#This Row],[ GDP per capita, in Afl. ]]-P4)/P4</f>
        <v>0.21622952981423929</v>
      </c>
      <c r="S5" s="23">
        <f t="shared" si="1"/>
        <v>32306.468420488713</v>
      </c>
      <c r="U5" s="29">
        <f t="shared" ref="U5:U45" si="3">L5/$L$4*100</f>
        <v>116.07921285340643</v>
      </c>
      <c r="V5" s="10">
        <f>IF(O5="","",S5/$S$4*100)</f>
        <v>117.39667276199224</v>
      </c>
      <c r="W5" s="9">
        <v>1480</v>
      </c>
      <c r="X5" s="30"/>
      <c r="Y5" t="s">
        <v>40</v>
      </c>
    </row>
    <row r="6" spans="1:25" x14ac:dyDescent="0.25">
      <c r="A6" s="8">
        <v>1988</v>
      </c>
      <c r="B6" s="21">
        <v>1067.5982567353406</v>
      </c>
      <c r="C6" s="22"/>
      <c r="D6" s="22"/>
      <c r="E6" s="22"/>
      <c r="F6" s="23">
        <f>+WebDataS1[[#This Row],[Private]]+WebDataS1[[#This Row],[Public]]</f>
        <v>0</v>
      </c>
      <c r="G6" s="22"/>
      <c r="H6" s="22"/>
      <c r="I6" s="23">
        <f>+WebDataS1[[#This Row],[Imports of goods and services]]+WebDataS1[[#This Row],[GDP deflator (2013 = 100)]]</f>
        <v>46.286074127880319</v>
      </c>
      <c r="J6" s="22"/>
      <c r="K6" s="10">
        <f t="shared" si="2"/>
        <v>46.286074127880319</v>
      </c>
      <c r="L6" s="24">
        <v>2306.5215118174715</v>
      </c>
      <c r="M6" s="10">
        <f t="shared" ref="M6:M45" si="4">(B6-B5)/B5*100</f>
        <v>22.317596566523612</v>
      </c>
      <c r="N6" s="10">
        <v>18.639763886055881</v>
      </c>
      <c r="O6" s="26">
        <v>60520</v>
      </c>
      <c r="P6" s="9">
        <f>+WebDataS1[[#This Row],[GDP at market prices]]/WebDataS1[[#This Row],[Mid-year population ]]*1000000</f>
        <v>17640.420633432594</v>
      </c>
      <c r="Q6" s="9">
        <f t="shared" si="0"/>
        <v>9854.9835940964203</v>
      </c>
      <c r="R6" s="11">
        <f>+(WebDataS1[[#This Row],[ GDP per capita, in Afl. ]]-P5)/P5</f>
        <v>0.21626376837082917</v>
      </c>
      <c r="S6" s="23">
        <f t="shared" ref="S6:S10" si="5">+(L6*1000000)/(O6)</f>
        <v>38111.723592489616</v>
      </c>
      <c r="U6" s="29">
        <f t="shared" si="3"/>
        <v>137.71610405007362</v>
      </c>
      <c r="V6" s="10">
        <f t="shared" ref="V6:V45" si="6">IF(O6="","",S6/$S$4*100)</f>
        <v>138.49206557487659</v>
      </c>
      <c r="W6" s="9">
        <v>1756</v>
      </c>
      <c r="X6" s="30"/>
      <c r="Y6" t="s">
        <v>40</v>
      </c>
    </row>
    <row r="7" spans="1:25" x14ac:dyDescent="0.25">
      <c r="A7" s="8">
        <v>1989</v>
      </c>
      <c r="B7" s="21">
        <v>1244.5948098256733</v>
      </c>
      <c r="C7" s="22"/>
      <c r="D7" s="22"/>
      <c r="E7" s="22"/>
      <c r="F7" s="23">
        <f>+WebDataS1[[#This Row],[Private]]+WebDataS1[[#This Row],[Public]]</f>
        <v>0</v>
      </c>
      <c r="G7" s="22"/>
      <c r="H7" s="22"/>
      <c r="I7" s="23">
        <f>+WebDataS1[[#This Row],[Imports of goods and services]]+WebDataS1[[#This Row],[GDP deflator (2013 = 100)]]</f>
        <v>48.137517092995537</v>
      </c>
      <c r="J7" s="22"/>
      <c r="K7" s="10">
        <f t="shared" si="2"/>
        <v>48.137517092995537</v>
      </c>
      <c r="L7" s="24">
        <v>2585.4985570221147</v>
      </c>
      <c r="M7" s="10">
        <f t="shared" si="4"/>
        <v>16.578947368421055</v>
      </c>
      <c r="N7" s="10">
        <v>12.095141700404843</v>
      </c>
      <c r="O7" s="26">
        <v>61771</v>
      </c>
      <c r="P7" s="9">
        <f>+WebDataS1[[#This Row],[GDP at market prices]]/WebDataS1[[#This Row],[Mid-year population ]]*1000000</f>
        <v>20148.529404181143</v>
      </c>
      <c r="Q7" s="9">
        <f t="shared" si="0"/>
        <v>11256.161678313487</v>
      </c>
      <c r="R7" s="11">
        <f>+(WebDataS1[[#This Row],[ GDP per capita, in Afl. ]]-P6)/P6</f>
        <v>0.14217964655531598</v>
      </c>
      <c r="S7" s="23">
        <f t="shared" si="5"/>
        <v>41856.18748315738</v>
      </c>
      <c r="U7" s="29">
        <f t="shared" si="3"/>
        <v>154.37306197920699</v>
      </c>
      <c r="V7" s="10">
        <f t="shared" si="6"/>
        <v>152.0988639509886</v>
      </c>
      <c r="W7" s="9">
        <v>1969</v>
      </c>
      <c r="X7" s="30"/>
      <c r="Y7" t="s">
        <v>40</v>
      </c>
    </row>
    <row r="8" spans="1:25" x14ac:dyDescent="0.25">
      <c r="A8" s="8">
        <v>1990</v>
      </c>
      <c r="B8" s="21">
        <v>1369.1479397781297</v>
      </c>
      <c r="C8" s="22"/>
      <c r="D8" s="22"/>
      <c r="E8" s="22"/>
      <c r="F8" s="23">
        <f>+WebDataS1[[#This Row],[Private]]+WebDataS1[[#This Row],[Public]]</f>
        <v>0</v>
      </c>
      <c r="G8" s="22"/>
      <c r="H8" s="22"/>
      <c r="I8" s="23">
        <f>+WebDataS1[[#This Row],[Imports of goods and services]]+WebDataS1[[#This Row],[GDP deflator (2013 = 100)]]</f>
        <v>50.929493084389286</v>
      </c>
      <c r="J8" s="22"/>
      <c r="K8" s="10">
        <f t="shared" si="2"/>
        <v>50.929493084389286</v>
      </c>
      <c r="L8" s="24">
        <v>2688.3203756013736</v>
      </c>
      <c r="M8" s="10">
        <f t="shared" si="4"/>
        <v>10.00752445447705</v>
      </c>
      <c r="N8" s="10">
        <v>3.9768662140614586</v>
      </c>
      <c r="O8" s="26">
        <v>64218</v>
      </c>
      <c r="P8" s="9">
        <f>+WebDataS1[[#This Row],[GDP at market prices]]/WebDataS1[[#This Row],[Mid-year population ]]*1000000</f>
        <v>21320.314238657851</v>
      </c>
      <c r="Q8" s="9">
        <f t="shared" si="0"/>
        <v>11910.790077462487</v>
      </c>
      <c r="R8" s="11">
        <f>+(WebDataS1[[#This Row],[ GDP per capita, in Afl. ]]-P7)/P7</f>
        <v>5.815733798584545E-2</v>
      </c>
      <c r="S8" s="23">
        <f t="shared" si="5"/>
        <v>41862.412027801765</v>
      </c>
      <c r="U8" s="29">
        <f t="shared" si="3"/>
        <v>160.51227212467023</v>
      </c>
      <c r="V8" s="10">
        <f t="shared" si="6"/>
        <v>152.12148297641716</v>
      </c>
      <c r="W8" s="9">
        <v>2047</v>
      </c>
      <c r="X8" s="30"/>
      <c r="Y8" t="s">
        <v>40</v>
      </c>
    </row>
    <row r="9" spans="1:25" x14ac:dyDescent="0.25">
      <c r="A9" s="8">
        <v>1991</v>
      </c>
      <c r="B9" s="21">
        <v>1561.1283280507128</v>
      </c>
      <c r="C9" s="22"/>
      <c r="D9" s="22"/>
      <c r="E9" s="22"/>
      <c r="F9" s="23">
        <f>+WebDataS1[[#This Row],[Private]]+WebDataS1[[#This Row],[Public]]</f>
        <v>0</v>
      </c>
      <c r="G9" s="22"/>
      <c r="H9" s="22"/>
      <c r="I9" s="23">
        <f>+WebDataS1[[#This Row],[Imports of goods and services]]+WebDataS1[[#This Row],[GDP deflator (2013 = 100)]]</f>
        <v>53.781544697115095</v>
      </c>
      <c r="J9" s="22"/>
      <c r="K9" s="10">
        <f t="shared" si="2"/>
        <v>53.781544697115095</v>
      </c>
      <c r="L9" s="24">
        <v>2902.7212528807372</v>
      </c>
      <c r="M9" s="10">
        <f t="shared" si="4"/>
        <v>14.021887824897389</v>
      </c>
      <c r="N9" s="10">
        <v>7.9752725614558706</v>
      </c>
      <c r="O9" s="26">
        <v>66660.5</v>
      </c>
      <c r="P9" s="9">
        <f>+WebDataS1[[#This Row],[GDP at market prices]]/WebDataS1[[#This Row],[Mid-year population ]]*1000000</f>
        <v>23419.091186695459</v>
      </c>
      <c r="Q9" s="9">
        <f t="shared" si="0"/>
        <v>13083.291165751652</v>
      </c>
      <c r="R9" s="11">
        <f>+(WebDataS1[[#This Row],[ GDP per capita, in Afl. ]]-P8)/P8</f>
        <v>9.8440244573511956E-2</v>
      </c>
      <c r="S9" s="23">
        <f t="shared" si="5"/>
        <v>43544.846691530023</v>
      </c>
      <c r="U9" s="29">
        <f t="shared" si="3"/>
        <v>173.31356332119842</v>
      </c>
      <c r="V9" s="10">
        <f t="shared" si="6"/>
        <v>158.23518841430018</v>
      </c>
      <c r="W9" s="9">
        <v>2210</v>
      </c>
      <c r="X9" s="30"/>
      <c r="Y9" t="s">
        <v>40</v>
      </c>
    </row>
    <row r="10" spans="1:25" x14ac:dyDescent="0.25">
      <c r="A10" s="8">
        <v>1992</v>
      </c>
      <c r="B10" s="21">
        <v>1715.6491283676701</v>
      </c>
      <c r="C10" s="22"/>
      <c r="D10" s="22"/>
      <c r="E10" s="22"/>
      <c r="F10" s="23">
        <f>+WebDataS1[[#This Row],[Private]]+WebDataS1[[#This Row],[Public]]</f>
        <v>0</v>
      </c>
      <c r="G10" s="22"/>
      <c r="H10" s="22"/>
      <c r="I10" s="23">
        <f>+WebDataS1[[#This Row],[Imports of goods and services]]+WebDataS1[[#This Row],[GDP deflator (2013 = 100)]]</f>
        <v>55.825243395605447</v>
      </c>
      <c r="J10" s="22"/>
      <c r="K10" s="10">
        <f t="shared" si="2"/>
        <v>55.825243395605447</v>
      </c>
      <c r="L10" s="24">
        <v>3073.2497057105988</v>
      </c>
      <c r="M10" s="10">
        <f t="shared" si="4"/>
        <v>9.8980203959208257</v>
      </c>
      <c r="N10" s="10">
        <v>5.8747788014651636</v>
      </c>
      <c r="O10" s="26">
        <v>69005.5</v>
      </c>
      <c r="P10" s="9">
        <f>+WebDataS1[[#This Row],[GDP at market prices]]/WebDataS1[[#This Row],[Mid-year population ]]*1000000</f>
        <v>24862.498327925601</v>
      </c>
      <c r="Q10" s="9">
        <f t="shared" si="0"/>
        <v>13889.663870349497</v>
      </c>
      <c r="R10" s="11">
        <f>+(WebDataS1[[#This Row],[ GDP per capita, in Afl. ]]-P9)/P9</f>
        <v>6.1633781162701608E-2</v>
      </c>
      <c r="S10" s="23">
        <f t="shared" si="5"/>
        <v>44536.300812407688</v>
      </c>
      <c r="U10" s="29">
        <f t="shared" si="3"/>
        <v>183.4953517992561</v>
      </c>
      <c r="V10" s="10">
        <f t="shared" si="6"/>
        <v>161.8379782170193</v>
      </c>
      <c r="W10" s="9">
        <v>2340</v>
      </c>
      <c r="X10" s="30"/>
      <c r="Y10" t="s">
        <v>40</v>
      </c>
    </row>
    <row r="11" spans="1:25" x14ac:dyDescent="0.25">
      <c r="A11" s="8">
        <v>1993</v>
      </c>
      <c r="B11" s="21">
        <v>1938.5336767036449</v>
      </c>
      <c r="C11" s="22"/>
      <c r="D11" s="22"/>
      <c r="E11" s="22"/>
      <c r="F11" s="23">
        <f>+WebDataS1[[#This Row],[Private]]+WebDataS1[[#This Row],[Public]]</f>
        <v>0</v>
      </c>
      <c r="G11" s="22"/>
      <c r="H11" s="22"/>
      <c r="I11" s="23">
        <f>+WebDataS1[[#This Row],[Imports of goods and services]]+WebDataS1[[#This Row],[GDP deflator (2013 = 100)]]</f>
        <v>58.783981295572531</v>
      </c>
      <c r="J11" s="22"/>
      <c r="K11" s="10">
        <f t="shared" si="2"/>
        <v>58.783981295572531</v>
      </c>
      <c r="L11" s="24">
        <v>3297.7243697674671</v>
      </c>
      <c r="M11" s="10">
        <f t="shared" si="4"/>
        <v>12.991266375545866</v>
      </c>
      <c r="N11" s="10">
        <v>7.304146605456685</v>
      </c>
      <c r="O11" s="26">
        <v>73685.5</v>
      </c>
      <c r="P11" s="9">
        <f>+WebDataS1[[#This Row],[GDP at market prices]]/WebDataS1[[#This Row],[Mid-year population ]]*1000000</f>
        <v>26308.210933000999</v>
      </c>
      <c r="Q11" s="9">
        <f t="shared" si="0"/>
        <v>14697.324543575976</v>
      </c>
      <c r="R11" s="11">
        <f>+(WebDataS1[[#This Row],[ GDP per capita, in Afl. ]]-P10)/P10</f>
        <v>5.8148323873452847E-2</v>
      </c>
      <c r="S11" s="23">
        <f t="shared" ref="S11:S17" si="7">+(L11*1000000)/(O11)</f>
        <v>44754.04753672659</v>
      </c>
      <c r="U11" s="29">
        <f t="shared" si="3"/>
        <v>196.89812130887225</v>
      </c>
      <c r="V11" s="10">
        <f t="shared" si="6"/>
        <v>162.62923588737644</v>
      </c>
      <c r="W11" s="9">
        <v>2511</v>
      </c>
      <c r="X11" s="30"/>
      <c r="Y11" t="s">
        <v>40</v>
      </c>
    </row>
    <row r="12" spans="1:25" x14ac:dyDescent="0.25">
      <c r="A12" s="8">
        <v>1994</v>
      </c>
      <c r="B12" s="21">
        <v>2230</v>
      </c>
      <c r="C12" s="22"/>
      <c r="D12" s="22"/>
      <c r="E12" s="22"/>
      <c r="F12" s="23">
        <f>+WebDataS1[[#This Row],[Private]]+WebDataS1[[#This Row],[Public]]</f>
        <v>0</v>
      </c>
      <c r="G12" s="22"/>
      <c r="H12" s="22"/>
      <c r="I12" s="23">
        <f>+WebDataS1[[#This Row],[Imports of goods and services]]+WebDataS1[[#This Row],[GDP deflator (2013 = 100)]]</f>
        <v>62.493482100492926</v>
      </c>
      <c r="J12" s="22"/>
      <c r="K12" s="10">
        <f t="shared" si="2"/>
        <v>62.493482100492926</v>
      </c>
      <c r="L12" s="24">
        <v>3568.3721326554319</v>
      </c>
      <c r="M12" s="10">
        <f t="shared" si="4"/>
        <v>15.035401592402319</v>
      </c>
      <c r="N12" s="10">
        <v>8.2071068573583936</v>
      </c>
      <c r="O12" s="26">
        <v>77596</v>
      </c>
      <c r="P12" s="9">
        <f>+WebDataS1[[#This Row],[GDP at market prices]]/WebDataS1[[#This Row],[Mid-year population ]]*1000000</f>
        <v>28738.594772926441</v>
      </c>
      <c r="Q12" s="9">
        <f t="shared" si="0"/>
        <v>16055.080878729856</v>
      </c>
      <c r="R12" s="11">
        <f>+(WebDataS1[[#This Row],[ GDP per capita, in Afl. ]]-P11)/P11</f>
        <v>9.2381190272302793E-2</v>
      </c>
      <c r="S12" s="23">
        <f t="shared" si="7"/>
        <v>45986.547407797203</v>
      </c>
      <c r="U12" s="29">
        <f t="shared" si="3"/>
        <v>213.05776052482256</v>
      </c>
      <c r="V12" s="10">
        <f t="shared" si="6"/>
        <v>167.10794839039676</v>
      </c>
      <c r="W12" s="9">
        <v>2717</v>
      </c>
      <c r="X12" s="30"/>
      <c r="Y12" t="s">
        <v>40</v>
      </c>
    </row>
    <row r="13" spans="1:25" x14ac:dyDescent="0.25">
      <c r="A13" s="8">
        <v>1995</v>
      </c>
      <c r="B13" s="21">
        <v>2363.6999999999998</v>
      </c>
      <c r="C13" s="22"/>
      <c r="D13" s="22"/>
      <c r="E13" s="22"/>
      <c r="F13" s="23">
        <f>+WebDataS1[[#This Row],[Private]]+WebDataS1[[#This Row],[Public]]</f>
        <v>0</v>
      </c>
      <c r="G13" s="22"/>
      <c r="H13" s="22"/>
      <c r="I13" s="23">
        <f>+WebDataS1[[#This Row],[Imports of goods and services]]+WebDataS1[[#This Row],[GDP deflator (2013 = 100)]]</f>
        <v>64.622931491159505</v>
      </c>
      <c r="J13" s="22"/>
      <c r="K13" s="10">
        <f t="shared" si="2"/>
        <v>64.622931491159505</v>
      </c>
      <c r="L13" s="24">
        <v>3657.6799372268597</v>
      </c>
      <c r="M13" s="10">
        <f t="shared" si="4"/>
        <v>5.9955156950672563</v>
      </c>
      <c r="N13" s="10">
        <v>2.502760397497239</v>
      </c>
      <c r="O13" s="26">
        <v>79805</v>
      </c>
      <c r="P13" s="9">
        <f>+WebDataS1[[#This Row],[GDP at market prices]]/WebDataS1[[#This Row],[Mid-year population ]]*1000000</f>
        <v>29618.444959588996</v>
      </c>
      <c r="Q13" s="9">
        <f t="shared" si="0"/>
        <v>16546.617295859774</v>
      </c>
      <c r="R13" s="11">
        <f>+(WebDataS1[[#This Row],[ GDP per capita, in Afl. ]]-P12)/P12</f>
        <v>3.061563008263124E-2</v>
      </c>
      <c r="S13" s="23">
        <f t="shared" si="7"/>
        <v>45832.716461711163</v>
      </c>
      <c r="U13" s="29">
        <f t="shared" si="3"/>
        <v>218.39008577903232</v>
      </c>
      <c r="V13" s="10">
        <f t="shared" si="6"/>
        <v>166.54895069980185</v>
      </c>
      <c r="W13" s="9">
        <v>2785</v>
      </c>
      <c r="X13" s="30"/>
      <c r="Y13" t="s">
        <v>40</v>
      </c>
    </row>
    <row r="14" spans="1:25" x14ac:dyDescent="0.25">
      <c r="A14" s="8">
        <v>1996</v>
      </c>
      <c r="B14" s="21">
        <v>2470</v>
      </c>
      <c r="C14" s="22"/>
      <c r="D14" s="22"/>
      <c r="E14" s="22"/>
      <c r="F14" s="23">
        <f>+WebDataS1[[#This Row],[Private]]+WebDataS1[[#This Row],[Public]]</f>
        <v>0</v>
      </c>
      <c r="G14" s="22"/>
      <c r="H14" s="22"/>
      <c r="I14" s="23">
        <f>+WebDataS1[[#This Row],[Imports of goods and services]]+WebDataS1[[#This Row],[GDP deflator (2013 = 100)]]</f>
        <v>66.691017625797016</v>
      </c>
      <c r="J14" s="22"/>
      <c r="K14" s="10">
        <f t="shared" si="2"/>
        <v>66.691017625797016</v>
      </c>
      <c r="L14" s="24">
        <v>3703.6471895797999</v>
      </c>
      <c r="M14" s="10">
        <f t="shared" si="4"/>
        <v>4.497186614206548</v>
      </c>
      <c r="N14" s="10">
        <v>1.2567324955116588</v>
      </c>
      <c r="O14" s="26">
        <v>83021.5</v>
      </c>
      <c r="P14" s="9">
        <f>+WebDataS1[[#This Row],[GDP at market prices]]/WebDataS1[[#This Row],[Mid-year population ]]*1000000</f>
        <v>29751.329474895058</v>
      </c>
      <c r="Q14" s="9">
        <f t="shared" si="0"/>
        <v>16620.854455248635</v>
      </c>
      <c r="R14" s="11">
        <f>+(WebDataS1[[#This Row],[ GDP per capita, in Afl. ]]-P13)/P13</f>
        <v>4.4865459846851145E-3</v>
      </c>
      <c r="S14" s="23">
        <f t="shared" si="7"/>
        <v>44610.699512533502</v>
      </c>
      <c r="U14" s="29">
        <f t="shared" si="3"/>
        <v>221.13466495399319</v>
      </c>
      <c r="V14" s="10">
        <f t="shared" si="6"/>
        <v>162.10833150165899</v>
      </c>
      <c r="W14" s="9">
        <v>2820</v>
      </c>
      <c r="X14" s="30"/>
      <c r="Y14" t="s">
        <v>40</v>
      </c>
    </row>
    <row r="15" spans="1:25" x14ac:dyDescent="0.25">
      <c r="A15" s="8">
        <v>1997</v>
      </c>
      <c r="B15" s="21">
        <v>2742.1800000000003</v>
      </c>
      <c r="C15" s="22"/>
      <c r="D15" s="22"/>
      <c r="E15" s="22"/>
      <c r="F15" s="23">
        <f>+WebDataS1[[#This Row],[Private]]+WebDataS1[[#This Row],[Public]]</f>
        <v>0</v>
      </c>
      <c r="G15" s="22"/>
      <c r="H15" s="22"/>
      <c r="I15" s="23">
        <f>+WebDataS1[[#This Row],[Imports of goods and services]]+WebDataS1[[#This Row],[GDP deflator (2013 = 100)]]</f>
        <v>69.184490532240488</v>
      </c>
      <c r="J15" s="22"/>
      <c r="K15" s="10">
        <f t="shared" si="2"/>
        <v>69.184490532240488</v>
      </c>
      <c r="L15" s="24">
        <v>3963.5761988044478</v>
      </c>
      <c r="M15" s="10">
        <f t="shared" si="4"/>
        <v>11.019433198380577</v>
      </c>
      <c r="N15" s="10">
        <v>7.0181903383226496</v>
      </c>
      <c r="O15" s="26">
        <v>86301.5</v>
      </c>
      <c r="P15" s="9">
        <f>+WebDataS1[[#This Row],[GDP at market prices]]/WebDataS1[[#This Row],[Mid-year population ]]*1000000</f>
        <v>31774.418752860613</v>
      </c>
      <c r="Q15" s="9">
        <f t="shared" si="0"/>
        <v>17751.071928972407</v>
      </c>
      <c r="R15" s="11">
        <f>+(WebDataS1[[#This Row],[ GDP per capita, in Afl. ]]-P14)/P14</f>
        <v>6.7999962141950338E-2</v>
      </c>
      <c r="S15" s="23">
        <f t="shared" si="7"/>
        <v>45927.083524671616</v>
      </c>
      <c r="U15" s="29">
        <f t="shared" si="3"/>
        <v>236.65431664447652</v>
      </c>
      <c r="V15" s="10">
        <f t="shared" si="6"/>
        <v>166.89186590383116</v>
      </c>
      <c r="W15" s="9">
        <v>3017.9129675406984</v>
      </c>
      <c r="X15" s="30"/>
      <c r="Y15" t="s">
        <v>40</v>
      </c>
    </row>
    <row r="16" spans="1:25" x14ac:dyDescent="0.25">
      <c r="A16" s="8">
        <v>1998</v>
      </c>
      <c r="B16" s="21">
        <v>2980.53</v>
      </c>
      <c r="C16" s="22"/>
      <c r="D16" s="22"/>
      <c r="E16" s="22"/>
      <c r="F16" s="23">
        <f>+WebDataS1[[#This Row],[Private]]+WebDataS1[[#This Row],[Public]]</f>
        <v>0</v>
      </c>
      <c r="G16" s="22"/>
      <c r="H16" s="22"/>
      <c r="I16" s="23">
        <f>+WebDataS1[[#This Row],[Imports of goods and services]]+WebDataS1[[#This Row],[GDP deflator (2013 = 100)]]</f>
        <v>73.731446026676508</v>
      </c>
      <c r="J16" s="22"/>
      <c r="K16" s="10">
        <f t="shared" si="2"/>
        <v>73.731446026676508</v>
      </c>
      <c r="L16" s="24">
        <v>4042.4135977499013</v>
      </c>
      <c r="M16" s="10">
        <f t="shared" si="4"/>
        <v>8.6919895849287752</v>
      </c>
      <c r="N16" s="10">
        <v>1.9890471380172636</v>
      </c>
      <c r="O16" s="26">
        <v>88451.5</v>
      </c>
      <c r="P16" s="9">
        <f>+WebDataS1[[#This Row],[GDP at market prices]]/WebDataS1[[#This Row],[Mid-year population ]]*1000000</f>
        <v>33696.771677133802</v>
      </c>
      <c r="Q16" s="9">
        <f t="shared" si="0"/>
        <v>18825.012110130614</v>
      </c>
      <c r="R16" s="11">
        <f>+(WebDataS1[[#This Row],[ GDP per capita, in Afl. ]]-P15)/P15</f>
        <v>6.0500018559745398E-2</v>
      </c>
      <c r="S16" s="23">
        <f t="shared" si="7"/>
        <v>45702.035553381247</v>
      </c>
      <c r="U16" s="29">
        <f t="shared" si="3"/>
        <v>241.3614825566878</v>
      </c>
      <c r="V16" s="10">
        <f t="shared" si="6"/>
        <v>166.07407663954345</v>
      </c>
      <c r="W16" s="9">
        <v>3074</v>
      </c>
      <c r="X16" s="30"/>
      <c r="Y16" t="s">
        <v>40</v>
      </c>
    </row>
    <row r="17" spans="1:25" x14ac:dyDescent="0.25">
      <c r="A17" s="8">
        <v>1999</v>
      </c>
      <c r="B17" s="21">
        <v>3083.81</v>
      </c>
      <c r="C17" s="22"/>
      <c r="D17" s="22"/>
      <c r="E17" s="22"/>
      <c r="F17" s="23">
        <f>+WebDataS1[[#This Row],[Private]]+WebDataS1[[#This Row],[Public]]</f>
        <v>0</v>
      </c>
      <c r="G17" s="22"/>
      <c r="H17" s="22"/>
      <c r="I17" s="23">
        <f>+WebDataS1[[#This Row],[Imports of goods and services]]+WebDataS1[[#This Row],[GDP deflator (2013 = 100)]]</f>
        <v>75.254804929639945</v>
      </c>
      <c r="J17" s="22"/>
      <c r="K17" s="10">
        <f t="shared" si="2"/>
        <v>75.254804929639945</v>
      </c>
      <c r="L17" s="24">
        <v>4097.8247208045141</v>
      </c>
      <c r="M17" s="10">
        <f t="shared" si="4"/>
        <v>3.4651555260305966</v>
      </c>
      <c r="N17" s="10">
        <v>1.3707435351359321</v>
      </c>
      <c r="O17" s="26">
        <v>89659</v>
      </c>
      <c r="P17" s="9">
        <f>+WebDataS1[[#This Row],[GDP at market prices]]/WebDataS1[[#This Row],[Mid-year population ]]*1000000</f>
        <v>34394.873911152259</v>
      </c>
      <c r="Q17" s="9">
        <f t="shared" si="0"/>
        <v>19215.013358185621</v>
      </c>
      <c r="R17" s="11">
        <f>+(WebDataS1[[#This Row],[ GDP per capita, in Afl. ]]-P16)/P16</f>
        <v>2.0717184444472479E-2</v>
      </c>
      <c r="S17" s="23">
        <f t="shared" si="7"/>
        <v>45704.555268344659</v>
      </c>
      <c r="U17" s="29">
        <f t="shared" si="3"/>
        <v>244.66992947514186</v>
      </c>
      <c r="V17" s="10">
        <f t="shared" si="6"/>
        <v>166.08323289113872</v>
      </c>
      <c r="W17" s="9">
        <v>3116.1366562700787</v>
      </c>
      <c r="X17" s="30"/>
      <c r="Y17" t="s">
        <v>40</v>
      </c>
    </row>
    <row r="18" spans="1:25" x14ac:dyDescent="0.25">
      <c r="A18" s="8">
        <v>2000</v>
      </c>
      <c r="B18" s="9">
        <v>3353.48</v>
      </c>
      <c r="C18" s="9">
        <v>2374.4899999999998</v>
      </c>
      <c r="D18" s="9">
        <v>1656.19</v>
      </c>
      <c r="E18" s="9">
        <v>718.3</v>
      </c>
      <c r="F18" s="9">
        <v>854.94</v>
      </c>
      <c r="G18" s="9">
        <v>827.1</v>
      </c>
      <c r="H18" s="9">
        <v>27.84</v>
      </c>
      <c r="I18" s="9">
        <v>2494.52</v>
      </c>
      <c r="J18" s="9">
        <v>2370.4699999999998</v>
      </c>
      <c r="K18" s="10">
        <f t="shared" si="2"/>
        <v>76.055402871401256</v>
      </c>
      <c r="L18" s="9">
        <v>4409.2593995856578</v>
      </c>
      <c r="M18" s="10">
        <f t="shared" si="4"/>
        <v>8.7447021703671783</v>
      </c>
      <c r="N18" s="10">
        <v>7.6</v>
      </c>
      <c r="O18" s="27">
        <v>90587.5</v>
      </c>
      <c r="P18" s="9">
        <f>+WebDataS1[[#This Row],[GDP at market prices]]/WebDataS1[[#This Row],[Mid-year population ]]*1000000</f>
        <v>37019.235545743068</v>
      </c>
      <c r="Q18" s="9">
        <f>+P18/1.79</f>
        <v>20681.137176392775</v>
      </c>
      <c r="R18" s="11">
        <f>+(WebDataS1[[#This Row],[ GDP per capita, in Afl. ]]-P17)/P17</f>
        <v>7.630095232708152E-2</v>
      </c>
      <c r="S18" s="9">
        <f t="shared" ref="S18:S43" si="8">+(L18*1000000)/(O18)</f>
        <v>48674.037804174506</v>
      </c>
      <c r="U18" s="29">
        <f t="shared" si="3"/>
        <v>263.26484411525269</v>
      </c>
      <c r="V18" s="10">
        <f t="shared" si="6"/>
        <v>176.87386976899015</v>
      </c>
      <c r="Y18" t="s">
        <v>41</v>
      </c>
    </row>
    <row r="19" spans="1:25" x14ac:dyDescent="0.25">
      <c r="A19" s="8">
        <v>2001</v>
      </c>
      <c r="B19" s="9">
        <v>3394.6580000000004</v>
      </c>
      <c r="C19" s="9">
        <v>2525.5699999999997</v>
      </c>
      <c r="D19" s="9">
        <v>1682.27</v>
      </c>
      <c r="E19" s="9">
        <v>843.3</v>
      </c>
      <c r="F19" s="9">
        <v>814.69</v>
      </c>
      <c r="G19" s="9">
        <v>791.59</v>
      </c>
      <c r="H19" s="9">
        <v>23.1</v>
      </c>
      <c r="I19" s="9">
        <v>2410.098</v>
      </c>
      <c r="J19" s="9">
        <v>2355.6999999999998</v>
      </c>
      <c r="K19" s="10">
        <f t="shared" si="2"/>
        <v>73.898849371071535</v>
      </c>
      <c r="L19" s="9">
        <v>4593.6547441412185</v>
      </c>
      <c r="M19" s="10">
        <f t="shared" si="4"/>
        <v>1.2279184608227971</v>
      </c>
      <c r="N19" s="10">
        <v>4.2104085690997106</v>
      </c>
      <c r="O19" s="27">
        <v>91438.676868603579</v>
      </c>
      <c r="P19" s="9">
        <f>+WebDataS1[[#This Row],[GDP at market prices]]/WebDataS1[[#This Row],[Mid-year population ]]*1000000</f>
        <v>37124.968517185443</v>
      </c>
      <c r="Q19" s="9">
        <f t="shared" ref="Q19:Q43" si="9">+P19/1.79</f>
        <v>20740.205875522595</v>
      </c>
      <c r="R19" s="11">
        <f>+(WebDataS1[[#This Row],[ GDP per capita, in Afl. ]]-P18)/P18</f>
        <v>2.8561630158928106E-3</v>
      </c>
      <c r="S19" s="9">
        <f t="shared" si="8"/>
        <v>50237.546095972626</v>
      </c>
      <c r="U19" s="29">
        <f t="shared" si="3"/>
        <v>274.27458684995315</v>
      </c>
      <c r="V19" s="10">
        <f t="shared" si="6"/>
        <v>182.55541530048743</v>
      </c>
      <c r="Y19" t="s">
        <v>42</v>
      </c>
    </row>
    <row r="20" spans="1:25" x14ac:dyDescent="0.25">
      <c r="A20" s="8">
        <v>2002</v>
      </c>
      <c r="B20" s="9">
        <v>3511.6999999999994</v>
      </c>
      <c r="C20" s="9">
        <v>2720.59</v>
      </c>
      <c r="D20" s="9">
        <v>1846.52</v>
      </c>
      <c r="E20" s="9">
        <v>874.07</v>
      </c>
      <c r="F20" s="9">
        <v>935.16499999999996</v>
      </c>
      <c r="G20" s="9">
        <v>912.42499999999995</v>
      </c>
      <c r="H20" s="9">
        <v>22.74</v>
      </c>
      <c r="I20" s="9">
        <v>2267.3049999999998</v>
      </c>
      <c r="J20" s="9">
        <v>2411.36</v>
      </c>
      <c r="K20" s="10">
        <f t="shared" si="2"/>
        <v>77.176033809573994</v>
      </c>
      <c r="L20" s="9">
        <v>4550.246788614264</v>
      </c>
      <c r="M20" s="10">
        <f t="shared" si="4"/>
        <v>3.4478289123675787</v>
      </c>
      <c r="N20" s="10">
        <v>-0.94867259115414271</v>
      </c>
      <c r="O20" s="27">
        <v>92073.943371974587</v>
      </c>
      <c r="P20" s="9">
        <f>+WebDataS1[[#This Row],[GDP at market prices]]/WebDataS1[[#This Row],[Mid-year population ]]*1000000</f>
        <v>38139.997825583392</v>
      </c>
      <c r="Q20" s="9">
        <f t="shared" si="9"/>
        <v>21307.261355074519</v>
      </c>
      <c r="R20" s="11">
        <f>+(WebDataS1[[#This Row],[ GDP per capita, in Afl. ]]-P19)/P19</f>
        <v>2.7340879977530042E-2</v>
      </c>
      <c r="S20" s="9">
        <f t="shared" si="8"/>
        <v>49419.484188175491</v>
      </c>
      <c r="U20" s="29">
        <f t="shared" si="3"/>
        <v>271.68281630312634</v>
      </c>
      <c r="V20" s="10">
        <f t="shared" si="6"/>
        <v>179.58270578489689</v>
      </c>
      <c r="Y20" t="s">
        <v>42</v>
      </c>
    </row>
    <row r="21" spans="1:25" x14ac:dyDescent="0.25">
      <c r="A21" s="8">
        <v>2003</v>
      </c>
      <c r="B21" s="9">
        <v>3658.96</v>
      </c>
      <c r="C21" s="9">
        <v>2870.46</v>
      </c>
      <c r="D21" s="9">
        <v>1976.04</v>
      </c>
      <c r="E21" s="9">
        <v>894.42</v>
      </c>
      <c r="F21" s="9">
        <v>1056.77</v>
      </c>
      <c r="G21" s="9">
        <v>1006.65</v>
      </c>
      <c r="H21" s="9">
        <v>50.12</v>
      </c>
      <c r="I21" s="9">
        <v>2295.31</v>
      </c>
      <c r="J21" s="9">
        <v>2563.58</v>
      </c>
      <c r="K21" s="10">
        <f t="shared" si="2"/>
        <v>79.529166413876013</v>
      </c>
      <c r="L21" s="9">
        <v>4600.7775071581727</v>
      </c>
      <c r="M21" s="10">
        <f t="shared" si="4"/>
        <v>4.1934105988552757</v>
      </c>
      <c r="N21" s="10">
        <v>1.1062628313927458</v>
      </c>
      <c r="O21" s="27">
        <v>93128.400324974544</v>
      </c>
      <c r="P21" s="9">
        <f>+WebDataS1[[#This Row],[GDP at market prices]]/WebDataS1[[#This Row],[Mid-year population ]]*1000000</f>
        <v>39289.411041443229</v>
      </c>
      <c r="Q21" s="9">
        <f t="shared" si="9"/>
        <v>21949.391643264375</v>
      </c>
      <c r="R21" s="11">
        <f>+(WebDataS1[[#This Row],[ GDP per capita, in Afl. ]]-P20)/P20</f>
        <v>3.0136688028042782E-2</v>
      </c>
      <c r="S21" s="9">
        <f t="shared" si="8"/>
        <v>49402.518362858289</v>
      </c>
      <c r="U21" s="29">
        <f t="shared" si="3"/>
        <v>274.69986758882385</v>
      </c>
      <c r="V21" s="10">
        <f t="shared" si="6"/>
        <v>179.52105461903821</v>
      </c>
      <c r="Y21" t="s">
        <v>42</v>
      </c>
    </row>
    <row r="22" spans="1:25" x14ac:dyDescent="0.25">
      <c r="A22" s="8">
        <v>2004</v>
      </c>
      <c r="B22" s="9">
        <v>4036.1469999999995</v>
      </c>
      <c r="C22" s="9">
        <v>3012.92</v>
      </c>
      <c r="D22" s="9">
        <v>2089.1799999999998</v>
      </c>
      <c r="E22" s="9">
        <v>923.74</v>
      </c>
      <c r="F22" s="9">
        <v>1148.3400000000001</v>
      </c>
      <c r="G22" s="9">
        <v>1088.6600000000001</v>
      </c>
      <c r="H22" s="9">
        <v>59.68</v>
      </c>
      <c r="I22" s="9">
        <v>2609.9969999999998</v>
      </c>
      <c r="J22" s="9">
        <v>2735.11</v>
      </c>
      <c r="K22" s="10">
        <f t="shared" si="2"/>
        <v>81.763863520376063</v>
      </c>
      <c r="L22" s="9">
        <v>4936.345747647023</v>
      </c>
      <c r="M22" s="10">
        <f t="shared" si="4"/>
        <v>10.308584953101413</v>
      </c>
      <c r="N22" s="10">
        <v>7.2562478760463955</v>
      </c>
      <c r="O22" s="27">
        <v>95138.243973420002</v>
      </c>
      <c r="P22" s="9">
        <f>+WebDataS1[[#This Row],[GDP at market prices]]/WebDataS1[[#This Row],[Mid-year population ]]*1000000</f>
        <v>42424.022469109586</v>
      </c>
      <c r="Q22" s="9">
        <f t="shared" si="9"/>
        <v>23700.571211793063</v>
      </c>
      <c r="R22" s="11">
        <f>+(WebDataS1[[#This Row],[ GDP per capita, in Afl. ]]-P21)/P21</f>
        <v>7.9782601585956806E-2</v>
      </c>
      <c r="S22" s="9">
        <f t="shared" si="8"/>
        <v>51886.029649928729</v>
      </c>
      <c r="U22" s="29">
        <f t="shared" si="3"/>
        <v>294.73573132835082</v>
      </c>
      <c r="V22" s="10">
        <f t="shared" si="6"/>
        <v>188.54574769517828</v>
      </c>
      <c r="Y22" t="s">
        <v>42</v>
      </c>
    </row>
    <row r="23" spans="1:25" x14ac:dyDescent="0.25">
      <c r="A23" s="8">
        <v>2005</v>
      </c>
      <c r="B23" s="9">
        <v>4224.4309999999996</v>
      </c>
      <c r="C23" s="9">
        <v>3199.5520000000001</v>
      </c>
      <c r="D23" s="9">
        <v>2234.8620000000001</v>
      </c>
      <c r="E23" s="9">
        <v>964.69</v>
      </c>
      <c r="F23" s="9">
        <v>1400.8400000000001</v>
      </c>
      <c r="G23" s="9">
        <v>1336.44</v>
      </c>
      <c r="H23" s="9">
        <v>64.400000000000006</v>
      </c>
      <c r="I23" s="9">
        <v>2875.7939999999999</v>
      </c>
      <c r="J23" s="9">
        <v>3251.7550000000001</v>
      </c>
      <c r="K23" s="10">
        <f t="shared" si="2"/>
        <v>85.907246705083139</v>
      </c>
      <c r="L23" s="9">
        <v>4917.4326521048188</v>
      </c>
      <c r="M23" s="10">
        <f t="shared" si="4"/>
        <v>4.6649440667052051</v>
      </c>
      <c r="N23" s="10">
        <v>-0.37105493707559889</v>
      </c>
      <c r="O23" s="27">
        <v>97634.361740311404</v>
      </c>
      <c r="P23" s="9">
        <f>+WebDataS1[[#This Row],[GDP at market prices]]/WebDataS1[[#This Row],[Mid-year population ]]*1000000</f>
        <v>43267.871318052683</v>
      </c>
      <c r="Q23" s="9">
        <f t="shared" si="9"/>
        <v>24171.995149750102</v>
      </c>
      <c r="R23" s="11">
        <f>+(WebDataS1[[#This Row],[ GDP per capita, in Afl. ]]-P22)/P22</f>
        <v>1.9890825995048735E-2</v>
      </c>
      <c r="S23" s="9">
        <f t="shared" si="8"/>
        <v>50365.799135188099</v>
      </c>
      <c r="U23" s="29">
        <f t="shared" si="3"/>
        <v>293.60648201493478</v>
      </c>
      <c r="V23" s="10">
        <f t="shared" si="6"/>
        <v>183.02146686265573</v>
      </c>
      <c r="Y23" t="s">
        <v>42</v>
      </c>
    </row>
    <row r="24" spans="1:25" x14ac:dyDescent="0.25">
      <c r="A24" s="8">
        <v>2006</v>
      </c>
      <c r="B24" s="9">
        <v>4420.9109999999991</v>
      </c>
      <c r="C24" s="9">
        <v>3418.92</v>
      </c>
      <c r="D24" s="9">
        <v>2432.04</v>
      </c>
      <c r="E24" s="9">
        <v>986.88</v>
      </c>
      <c r="F24" s="9">
        <v>1526.06</v>
      </c>
      <c r="G24" s="9">
        <v>1459.56</v>
      </c>
      <c r="H24" s="9">
        <v>66.5</v>
      </c>
      <c r="I24" s="9">
        <v>2855.65</v>
      </c>
      <c r="J24" s="9">
        <v>3379.7190000000001</v>
      </c>
      <c r="K24" s="10">
        <f t="shared" si="2"/>
        <v>88.900552003704718</v>
      </c>
      <c r="L24" s="9">
        <v>4972.8723842072068</v>
      </c>
      <c r="M24" s="10">
        <f t="shared" si="4"/>
        <v>4.6510405780091943</v>
      </c>
      <c r="N24" s="10">
        <v>1.1486196507467961</v>
      </c>
      <c r="O24" s="27">
        <v>99404.992263665918</v>
      </c>
      <c r="P24" s="9">
        <f>+WebDataS1[[#This Row],[GDP at market prices]]/WebDataS1[[#This Row],[Mid-year population ]]*1000000</f>
        <v>44473.73214691061</v>
      </c>
      <c r="Q24" s="9">
        <f t="shared" si="9"/>
        <v>24845.660417268497</v>
      </c>
      <c r="R24" s="11">
        <f>+(WebDataS1[[#This Row],[ GDP per capita, in Afl. ]]-P23)/P23</f>
        <v>2.786965922113217E-2</v>
      </c>
      <c r="S24" s="9">
        <f t="shared" si="8"/>
        <v>50026.384701252769</v>
      </c>
      <c r="U24" s="29">
        <f t="shared" si="3"/>
        <v>296.91663710154597</v>
      </c>
      <c r="V24" s="10">
        <f t="shared" si="6"/>
        <v>181.78808769187231</v>
      </c>
      <c r="Y24" t="s">
        <v>42</v>
      </c>
    </row>
    <row r="25" spans="1:25" x14ac:dyDescent="0.25">
      <c r="A25" s="8">
        <v>2007</v>
      </c>
      <c r="B25" s="9">
        <v>4792.978000000001</v>
      </c>
      <c r="C25" s="9">
        <v>3743.4660000000003</v>
      </c>
      <c r="D25" s="9">
        <v>2717.076</v>
      </c>
      <c r="E25" s="9">
        <v>1026.3900000000001</v>
      </c>
      <c r="F25" s="9">
        <v>1521.61</v>
      </c>
      <c r="G25" s="9">
        <v>1464.11</v>
      </c>
      <c r="H25" s="9">
        <v>57.5</v>
      </c>
      <c r="I25" s="9">
        <v>3118.3719999999998</v>
      </c>
      <c r="J25" s="9">
        <v>3590.47</v>
      </c>
      <c r="K25" s="10">
        <f t="shared" si="2"/>
        <v>93.493948812841111</v>
      </c>
      <c r="L25" s="9">
        <v>5126.5114596825115</v>
      </c>
      <c r="M25" s="10">
        <f t="shared" si="4"/>
        <v>8.416070805315961</v>
      </c>
      <c r="N25" s="10">
        <v>3.0667086418940226</v>
      </c>
      <c r="O25" s="27">
        <v>100149.00307998255</v>
      </c>
      <c r="P25" s="9">
        <f>+WebDataS1[[#This Row],[GDP at market prices]]/WebDataS1[[#This Row],[Mid-year population ]]*1000000</f>
        <v>47858.469406551747</v>
      </c>
      <c r="Q25" s="9">
        <f t="shared" si="9"/>
        <v>26736.575087459078</v>
      </c>
      <c r="R25" s="11">
        <f>+(WebDataS1[[#This Row],[ GDP per capita, in Afl. ]]-P24)/P24</f>
        <v>7.6106436232072763E-2</v>
      </c>
      <c r="S25" s="9">
        <f t="shared" si="8"/>
        <v>51188.841646164939</v>
      </c>
      <c r="U25" s="29">
        <f t="shared" si="3"/>
        <v>306.09000695563498</v>
      </c>
      <c r="V25" s="10">
        <f t="shared" si="6"/>
        <v>186.01227511420325</v>
      </c>
      <c r="Y25" t="s">
        <v>42</v>
      </c>
    </row>
    <row r="26" spans="1:25" x14ac:dyDescent="0.25">
      <c r="A26" s="8">
        <v>2008</v>
      </c>
      <c r="B26" s="9">
        <v>5089.0140000000001</v>
      </c>
      <c r="C26" s="9">
        <v>3865.0299999999997</v>
      </c>
      <c r="D26" s="9">
        <v>2783.7</v>
      </c>
      <c r="E26" s="9">
        <v>1081.33</v>
      </c>
      <c r="F26" s="9">
        <v>1633.729</v>
      </c>
      <c r="G26" s="9">
        <v>1555.9290000000001</v>
      </c>
      <c r="H26" s="9">
        <v>77.8</v>
      </c>
      <c r="I26" s="9">
        <v>3334.7950000000001</v>
      </c>
      <c r="J26" s="9">
        <v>3744.54</v>
      </c>
      <c r="K26" s="10">
        <f t="shared" si="2"/>
        <v>97.479080215581206</v>
      </c>
      <c r="L26" s="9">
        <v>5220.6216849249304</v>
      </c>
      <c r="M26" s="10">
        <f t="shared" si="4"/>
        <v>6.1764523016796469</v>
      </c>
      <c r="N26" s="10">
        <v>1.8238667356152538</v>
      </c>
      <c r="O26" s="27">
        <v>100916.40844933793</v>
      </c>
      <c r="P26" s="9">
        <f>+WebDataS1[[#This Row],[GDP at market prices]]/WebDataS1[[#This Row],[Mid-year population ]]*1000000</f>
        <v>50428.013424147844</v>
      </c>
      <c r="Q26" s="9">
        <f t="shared" si="9"/>
        <v>28172.07453863008</v>
      </c>
      <c r="R26" s="11">
        <f>+(WebDataS1[[#This Row],[ GDP per capita, in Afl. ]]-P25)/P25</f>
        <v>5.3690476303538681E-2</v>
      </c>
      <c r="S26" s="9">
        <f t="shared" si="8"/>
        <v>51732.139155009543</v>
      </c>
      <c r="U26" s="29">
        <f t="shared" si="3"/>
        <v>311.70907164038113</v>
      </c>
      <c r="V26" s="10">
        <f t="shared" si="6"/>
        <v>187.98653361340166</v>
      </c>
      <c r="Y26" t="s">
        <v>42</v>
      </c>
    </row>
    <row r="27" spans="1:25" x14ac:dyDescent="0.25">
      <c r="A27" s="8">
        <v>2009</v>
      </c>
      <c r="B27" s="9">
        <v>4571.2900000000009</v>
      </c>
      <c r="C27" s="9">
        <v>3751.9900000000002</v>
      </c>
      <c r="D27" s="9">
        <v>2616.8000000000002</v>
      </c>
      <c r="E27" s="9">
        <v>1135.19</v>
      </c>
      <c r="F27" s="9">
        <v>1355.03</v>
      </c>
      <c r="G27" s="9">
        <v>1272.83</v>
      </c>
      <c r="H27" s="9">
        <v>82.2</v>
      </c>
      <c r="I27" s="9">
        <v>2876.19</v>
      </c>
      <c r="J27" s="9">
        <v>3411.92</v>
      </c>
      <c r="K27" s="10">
        <f t="shared" si="2"/>
        <v>99.139423070478955</v>
      </c>
      <c r="L27" s="9">
        <v>4610.9709522419116</v>
      </c>
      <c r="M27" s="10">
        <f t="shared" si="4"/>
        <v>-10.173365606775679</v>
      </c>
      <c r="N27" s="10">
        <v>-11.705215153277948</v>
      </c>
      <c r="O27" s="27">
        <v>101604.33275937334</v>
      </c>
      <c r="P27" s="9">
        <f>+WebDataS1[[#This Row],[GDP at market prices]]/WebDataS1[[#This Row],[Mid-year population ]]*1000000</f>
        <v>44991.093153734473</v>
      </c>
      <c r="Q27" s="9">
        <f t="shared" si="9"/>
        <v>25134.688912700822</v>
      </c>
      <c r="R27" s="11">
        <f>+(WebDataS1[[#This Row],[ GDP per capita, in Afl. ]]-P26)/P26</f>
        <v>-0.10781547598719921</v>
      </c>
      <c r="S27" s="9">
        <f t="shared" si="8"/>
        <v>45381.637052446808</v>
      </c>
      <c r="U27" s="29">
        <f t="shared" si="3"/>
        <v>275.30849037278165</v>
      </c>
      <c r="V27" s="10">
        <f t="shared" si="6"/>
        <v>164.90979840652625</v>
      </c>
      <c r="Y27" t="s">
        <v>42</v>
      </c>
    </row>
    <row r="28" spans="1:25" x14ac:dyDescent="0.25">
      <c r="A28" s="8">
        <v>2010</v>
      </c>
      <c r="B28" s="9">
        <v>4391.9390000000003</v>
      </c>
      <c r="C28" s="9">
        <v>3809.7950000000001</v>
      </c>
      <c r="D28" s="9">
        <v>2647.462</v>
      </c>
      <c r="E28" s="9">
        <v>1162.3330000000001</v>
      </c>
      <c r="F28" s="9">
        <v>1242.18</v>
      </c>
      <c r="G28" s="9">
        <v>1166.48</v>
      </c>
      <c r="H28" s="9">
        <v>75.7</v>
      </c>
      <c r="I28" s="9">
        <v>2644.7460000000001</v>
      </c>
      <c r="J28" s="9">
        <v>3304.779</v>
      </c>
      <c r="K28" s="10">
        <f t="shared" si="2"/>
        <v>97.926543781844984</v>
      </c>
      <c r="L28" s="9">
        <v>4484.9321035817466</v>
      </c>
      <c r="M28" s="10">
        <f t="shared" si="4"/>
        <v>-3.9234220537310156</v>
      </c>
      <c r="N28" s="13">
        <v>-3.2211398462864471</v>
      </c>
      <c r="O28" s="27">
        <v>101838.29477796805</v>
      </c>
      <c r="P28" s="9">
        <f>+WebDataS1[[#This Row],[GDP at market prices]]/WebDataS1[[#This Row],[Mid-year population ]]*1000000</f>
        <v>43126.596037133997</v>
      </c>
      <c r="Q28" s="9">
        <f t="shared" si="9"/>
        <v>24093.070411806701</v>
      </c>
      <c r="R28" s="12">
        <f>+(WebDataS1[[#This Row],[ GDP per capita, in Afl. ]]-P27)/P27</f>
        <v>-4.1441471764855617E-2</v>
      </c>
      <c r="S28" s="9">
        <f t="shared" si="8"/>
        <v>44039.740780813103</v>
      </c>
      <c r="U28" s="29">
        <f t="shared" si="3"/>
        <v>267.78305472975677</v>
      </c>
      <c r="V28" s="10">
        <f t="shared" si="6"/>
        <v>160.03355642826</v>
      </c>
      <c r="Y28" t="s">
        <v>42</v>
      </c>
    </row>
    <row r="29" spans="1:25" x14ac:dyDescent="0.25">
      <c r="A29" s="8">
        <v>2011</v>
      </c>
      <c r="B29" s="9">
        <v>4721.768</v>
      </c>
      <c r="C29" s="9">
        <v>4132.4529999999995</v>
      </c>
      <c r="D29" s="9">
        <v>2946.89</v>
      </c>
      <c r="E29" s="9">
        <v>1185.5630000000001</v>
      </c>
      <c r="F29" s="9">
        <v>1294.55</v>
      </c>
      <c r="G29" s="9">
        <v>1232.8499999999999</v>
      </c>
      <c r="H29" s="9">
        <v>61.7</v>
      </c>
      <c r="I29" s="9">
        <v>3293.4810000000002</v>
      </c>
      <c r="J29" s="9">
        <v>3998.7130000000002</v>
      </c>
      <c r="K29" s="10">
        <f t="shared" si="2"/>
        <v>101.84916117071863</v>
      </c>
      <c r="L29" s="9">
        <v>4636.0401457655762</v>
      </c>
      <c r="M29" s="10">
        <f t="shared" si="4"/>
        <v>7.5098720633414926</v>
      </c>
      <c r="N29" s="13">
        <v>3.7158588118895386</v>
      </c>
      <c r="O29" s="27">
        <v>102590.78592192952</v>
      </c>
      <c r="P29" s="9">
        <f>+WebDataS1[[#This Row],[GDP at market prices]]/WebDataS1[[#This Row],[Mid-year population ]]*1000000</f>
        <v>46025.263941278456</v>
      </c>
      <c r="Q29" s="9">
        <f t="shared" si="9"/>
        <v>25712.437956021484</v>
      </c>
      <c r="R29" s="12">
        <f>+(WebDataS1[[#This Row],[ GDP per capita, in Afl. ]]-P28)/P28</f>
        <v>6.7213000108994725E-2</v>
      </c>
      <c r="S29" s="9">
        <f t="shared" si="8"/>
        <v>45189.634762068716</v>
      </c>
      <c r="U29" s="29">
        <f t="shared" si="3"/>
        <v>276.80530349421485</v>
      </c>
      <c r="V29" s="10">
        <f t="shared" si="6"/>
        <v>164.21209199802337</v>
      </c>
      <c r="Y29" t="s">
        <v>42</v>
      </c>
    </row>
    <row r="30" spans="1:25" x14ac:dyDescent="0.25">
      <c r="A30" s="8">
        <v>2012</v>
      </c>
      <c r="B30" s="9">
        <v>4681.2229999999981</v>
      </c>
      <c r="C30" s="9">
        <v>4068.7110000000002</v>
      </c>
      <c r="D30" s="9">
        <v>2843.2629999999999</v>
      </c>
      <c r="E30" s="9">
        <v>1225.4480000000001</v>
      </c>
      <c r="F30" s="9">
        <v>1101.1410000000001</v>
      </c>
      <c r="G30" s="9">
        <v>1028.4100000000001</v>
      </c>
      <c r="H30" s="9">
        <v>72.730999999999995</v>
      </c>
      <c r="I30" s="9">
        <v>3422.14</v>
      </c>
      <c r="J30" s="9">
        <v>3910.7710000000002</v>
      </c>
      <c r="K30" s="10">
        <f t="shared" si="2"/>
        <v>102.03659719218456</v>
      </c>
      <c r="L30" s="9">
        <v>4587.7882336501061</v>
      </c>
      <c r="M30" s="10">
        <f t="shared" si="4"/>
        <v>-0.85868259516354661</v>
      </c>
      <c r="N30" s="13">
        <v>-1.1041699439548469</v>
      </c>
      <c r="O30" s="27">
        <v>104109.6631326169</v>
      </c>
      <c r="P30" s="9">
        <f>+WebDataS1[[#This Row],[GDP at market prices]]/WebDataS1[[#This Row],[Mid-year population ]]*1000000</f>
        <v>44964.346816077639</v>
      </c>
      <c r="Q30" s="9">
        <f t="shared" si="9"/>
        <v>25119.746824624381</v>
      </c>
      <c r="R30" s="12">
        <f>+(WebDataS1[[#This Row],[ GDP per capita, in Afl. ]]-P29)/P29</f>
        <v>-2.3050755918627482E-2</v>
      </c>
      <c r="S30" s="9">
        <f t="shared" si="8"/>
        <v>44066.881935888057</v>
      </c>
      <c r="U30" s="29">
        <f t="shared" si="3"/>
        <v>273.92431352058446</v>
      </c>
      <c r="V30" s="10">
        <f t="shared" si="6"/>
        <v>160.13218315710097</v>
      </c>
      <c r="Y30" t="s">
        <v>42</v>
      </c>
    </row>
    <row r="31" spans="1:25" x14ac:dyDescent="0.25">
      <c r="A31" s="8">
        <v>2013</v>
      </c>
      <c r="B31" s="9">
        <v>4882.8500000000004</v>
      </c>
      <c r="C31" s="9">
        <v>4138.3710000000001</v>
      </c>
      <c r="D31" s="9">
        <v>2859.3910000000001</v>
      </c>
      <c r="E31" s="9">
        <v>1278.98</v>
      </c>
      <c r="F31" s="9">
        <v>1163.3810000000001</v>
      </c>
      <c r="G31" s="9">
        <v>1099.76</v>
      </c>
      <c r="H31" s="9">
        <v>63.621000000000002</v>
      </c>
      <c r="I31" s="9">
        <v>3592.627</v>
      </c>
      <c r="J31" s="9">
        <v>4011.5282948277213</v>
      </c>
      <c r="K31" s="10">
        <f t="shared" si="2"/>
        <v>100</v>
      </c>
      <c r="L31" s="9">
        <v>4882.8500000000004</v>
      </c>
      <c r="M31" s="10">
        <f t="shared" si="4"/>
        <v>4.3071436673707346</v>
      </c>
      <c r="N31" s="13">
        <v>7.1285621183864167</v>
      </c>
      <c r="O31" s="27">
        <v>105675</v>
      </c>
      <c r="P31" s="9">
        <f>+WebDataS1[[#This Row],[GDP at market prices]]/WebDataS1[[#This Row],[Mid-year population ]]*1000000</f>
        <v>46206.292879110479</v>
      </c>
      <c r="Q31" s="9">
        <f t="shared" si="9"/>
        <v>25813.571440843843</v>
      </c>
      <c r="R31" s="12">
        <f>+(WebDataS1[[#This Row],[ GDP per capita, in Afl. ]]-P30)/P30</f>
        <v>2.7620685075508848E-2</v>
      </c>
      <c r="S31" s="9">
        <f t="shared" si="8"/>
        <v>46206.292879110479</v>
      </c>
      <c r="U31" s="29">
        <f t="shared" si="3"/>
        <v>291.54164624765775</v>
      </c>
      <c r="V31" s="10">
        <f t="shared" si="6"/>
        <v>167.90646919591859</v>
      </c>
      <c r="Y31" t="s">
        <v>42</v>
      </c>
    </row>
    <row r="32" spans="1:25" x14ac:dyDescent="0.25">
      <c r="A32" s="8">
        <v>2014</v>
      </c>
      <c r="B32" s="9">
        <v>4995.6209999999992</v>
      </c>
      <c r="C32" s="9">
        <v>4119.9059999999999</v>
      </c>
      <c r="D32" s="9">
        <v>2879.8069999999998</v>
      </c>
      <c r="E32" s="9">
        <v>1240.0989999999999</v>
      </c>
      <c r="F32" s="9">
        <v>1154.56</v>
      </c>
      <c r="G32" s="9">
        <v>1104.78</v>
      </c>
      <c r="H32" s="9">
        <v>49.78</v>
      </c>
      <c r="I32" s="9">
        <v>3769.4270000000001</v>
      </c>
      <c r="J32" s="9">
        <v>4048.272895111194</v>
      </c>
      <c r="K32" s="10">
        <f t="shared" si="2"/>
        <v>100.87101220695347</v>
      </c>
      <c r="L32" s="9">
        <v>4952.4842575691227</v>
      </c>
      <c r="M32" s="10">
        <f t="shared" si="4"/>
        <v>2.309532342791583</v>
      </c>
      <c r="N32" s="13">
        <v>1.4260986425780553</v>
      </c>
      <c r="O32" s="27">
        <v>106807</v>
      </c>
      <c r="P32" s="9">
        <f>+WebDataS1[[#This Row],[GDP at market prices]]/WebDataS1[[#This Row],[Mid-year population ]]*1000000</f>
        <v>46772.411920566999</v>
      </c>
      <c r="Q32" s="9">
        <f t="shared" si="9"/>
        <v>26129.839061769271</v>
      </c>
      <c r="R32" s="12">
        <f>+(WebDataS1[[#This Row],[ GDP per capita, in Afl. ]]-P31)/P31</f>
        <v>1.2251990068488247E-2</v>
      </c>
      <c r="S32" s="9">
        <f t="shared" si="8"/>
        <v>46368.536309128824</v>
      </c>
      <c r="U32" s="29">
        <f t="shared" si="3"/>
        <v>295.6993177073453</v>
      </c>
      <c r="V32" s="10">
        <f t="shared" si="6"/>
        <v>168.49603654242458</v>
      </c>
      <c r="Y32" t="s">
        <v>42</v>
      </c>
    </row>
    <row r="33" spans="1:25" x14ac:dyDescent="0.25">
      <c r="A33" s="8">
        <v>2015</v>
      </c>
      <c r="B33" s="9">
        <v>5303.603000000001</v>
      </c>
      <c r="C33" s="9">
        <v>4153.2849999999999</v>
      </c>
      <c r="D33" s="9">
        <v>2919.8989999999999</v>
      </c>
      <c r="E33" s="9">
        <v>1233.386</v>
      </c>
      <c r="F33" s="9">
        <v>1142.336</v>
      </c>
      <c r="G33" s="9">
        <v>1106.97</v>
      </c>
      <c r="H33" s="9">
        <v>35.366</v>
      </c>
      <c r="I33" s="9">
        <v>3729.585</v>
      </c>
      <c r="J33" s="9">
        <v>3721.6060229061322</v>
      </c>
      <c r="K33" s="10">
        <f t="shared" si="2"/>
        <v>103.35703132662711</v>
      </c>
      <c r="L33" s="9">
        <v>5131.342233737003</v>
      </c>
      <c r="M33" s="10">
        <f t="shared" si="4"/>
        <v>6.1650393414552838</v>
      </c>
      <c r="N33" s="13">
        <v>3.6114799536116182</v>
      </c>
      <c r="O33" s="27">
        <v>107906</v>
      </c>
      <c r="P33" s="9">
        <f>+WebDataS1[[#This Row],[GDP at market prices]]/WebDataS1[[#This Row],[Mid-year population ]]*1000000</f>
        <v>49150.214075213618</v>
      </c>
      <c r="Q33" s="9">
        <f t="shared" si="9"/>
        <v>27458.220153750623</v>
      </c>
      <c r="R33" s="12">
        <f>+(WebDataS1[[#This Row],[ GDP per capita, in Afl. ]]-P32)/P32</f>
        <v>5.0837706609717079E-2</v>
      </c>
      <c r="S33" s="9">
        <f t="shared" si="8"/>
        <v>47553.817523928265</v>
      </c>
      <c r="U33" s="29">
        <f t="shared" si="3"/>
        <v>306.37843928931238</v>
      </c>
      <c r="V33" s="10">
        <f t="shared" si="6"/>
        <v>172.80316380541254</v>
      </c>
      <c r="Y33" t="s">
        <v>42</v>
      </c>
    </row>
    <row r="34" spans="1:25" x14ac:dyDescent="0.25">
      <c r="A34" s="8">
        <v>2016</v>
      </c>
      <c r="B34" s="9">
        <v>5340.7110000000011</v>
      </c>
      <c r="C34" s="9">
        <v>4185.9940000000006</v>
      </c>
      <c r="D34" s="9">
        <v>2931.59</v>
      </c>
      <c r="E34" s="9">
        <v>1254.404</v>
      </c>
      <c r="F34" s="9">
        <v>1098.8489999999999</v>
      </c>
      <c r="G34" s="9">
        <v>1030.58</v>
      </c>
      <c r="H34" s="9">
        <v>68.269000000000005</v>
      </c>
      <c r="I34" s="9">
        <v>3683.31</v>
      </c>
      <c r="J34" s="9">
        <v>3627.4431297743495</v>
      </c>
      <c r="K34" s="10">
        <f t="shared" si="2"/>
        <v>102.81116042059932</v>
      </c>
      <c r="L34" s="9">
        <v>5194.6802060702466</v>
      </c>
      <c r="M34" s="10">
        <f t="shared" si="4"/>
        <v>0.69967529620901425</v>
      </c>
      <c r="N34" s="13">
        <v>1.2343353736341323</v>
      </c>
      <c r="O34" s="27">
        <v>108727</v>
      </c>
      <c r="P34" s="9">
        <f>+WebDataS1[[#This Row],[GDP at market prices]]/WebDataS1[[#This Row],[Mid-year population ]]*1000000</f>
        <v>49120.374883883494</v>
      </c>
      <c r="Q34" s="9">
        <f t="shared" si="9"/>
        <v>27441.55021446005</v>
      </c>
      <c r="R34" s="12">
        <f>+(WebDataS1[[#This Row],[ GDP per capita, in Afl. ]]-P33)/P33</f>
        <v>-6.0710196062343765E-4</v>
      </c>
      <c r="S34" s="9">
        <f t="shared" si="8"/>
        <v>47777.278928603264</v>
      </c>
      <c r="U34" s="29">
        <f t="shared" si="3"/>
        <v>310.16017674264856</v>
      </c>
      <c r="V34" s="10">
        <f t="shared" si="6"/>
        <v>173.61518773381349</v>
      </c>
      <c r="Y34" t="s">
        <v>42</v>
      </c>
    </row>
    <row r="35" spans="1:25" x14ac:dyDescent="0.25">
      <c r="A35" s="8">
        <v>2017</v>
      </c>
      <c r="B35" s="9">
        <v>5535.4460000000008</v>
      </c>
      <c r="C35" s="9">
        <v>4367.0039999999999</v>
      </c>
      <c r="D35" s="9">
        <v>3092.6579999999999</v>
      </c>
      <c r="E35" s="9">
        <v>1274.346</v>
      </c>
      <c r="F35" s="9">
        <v>1137.5990000000002</v>
      </c>
      <c r="G35" s="9">
        <v>1090.44</v>
      </c>
      <c r="H35" s="9">
        <v>47.158999999999999</v>
      </c>
      <c r="I35" s="9">
        <v>3854.7150000000001</v>
      </c>
      <c r="J35" s="9">
        <v>3823.8685983969399</v>
      </c>
      <c r="K35" s="10">
        <f t="shared" si="2"/>
        <v>102.96296056469771</v>
      </c>
      <c r="L35" s="9">
        <v>5376.1527151521186</v>
      </c>
      <c r="M35" s="10">
        <f t="shared" si="4"/>
        <v>3.6462373642760233</v>
      </c>
      <c r="N35" s="13">
        <v>3.4934298529062824</v>
      </c>
      <c r="O35" s="27">
        <v>108735</v>
      </c>
      <c r="P35" s="9">
        <f>+WebDataS1[[#This Row],[GDP at market prices]]/WebDataS1[[#This Row],[Mid-year population ]]*1000000</f>
        <v>50907.674621786922</v>
      </c>
      <c r="Q35" s="9">
        <f t="shared" si="9"/>
        <v>28440.041688149118</v>
      </c>
      <c r="R35" s="12">
        <f>+(WebDataS1[[#This Row],[ GDP per capita, in Afl. ]]-P34)/P34</f>
        <v>3.638611761674166E-2</v>
      </c>
      <c r="S35" s="9">
        <f t="shared" si="8"/>
        <v>49442.70671956701</v>
      </c>
      <c r="U35" s="29">
        <f t="shared" si="3"/>
        <v>320.99540494880318</v>
      </c>
      <c r="V35" s="10">
        <f t="shared" si="6"/>
        <v>179.66709284580963</v>
      </c>
      <c r="Y35" t="s">
        <v>42</v>
      </c>
    </row>
    <row r="36" spans="1:25" x14ac:dyDescent="0.25">
      <c r="A36" s="8">
        <v>2018</v>
      </c>
      <c r="B36" s="9">
        <v>5864.3759999999993</v>
      </c>
      <c r="C36" s="9">
        <v>4668.37</v>
      </c>
      <c r="D36" s="9">
        <v>3315.39</v>
      </c>
      <c r="E36" s="9">
        <v>1352.97</v>
      </c>
      <c r="F36" s="9">
        <v>1313.72</v>
      </c>
      <c r="G36" s="9">
        <v>1259.43</v>
      </c>
      <c r="H36" s="9">
        <v>54.29</v>
      </c>
      <c r="I36" s="9">
        <v>4011.75</v>
      </c>
      <c r="J36" s="9">
        <v>4129.47</v>
      </c>
      <c r="K36" s="10">
        <f t="shared" si="2"/>
        <v>105.68613963331744</v>
      </c>
      <c r="L36" s="9">
        <v>5548.86006845051</v>
      </c>
      <c r="M36" s="10">
        <f t="shared" si="4"/>
        <v>5.9422492785585552</v>
      </c>
      <c r="N36" s="13">
        <v>3.2124711192007993</v>
      </c>
      <c r="O36" s="27">
        <v>108908</v>
      </c>
      <c r="P36" s="9">
        <f>+WebDataS1[[#This Row],[GDP at market prices]]/WebDataS1[[#This Row],[Mid-year population ]]*1000000</f>
        <v>53847.06357659676</v>
      </c>
      <c r="Q36" s="9">
        <f t="shared" si="9"/>
        <v>30082.158422679753</v>
      </c>
      <c r="R36" s="12">
        <f>+(WebDataS1[[#This Row],[ GDP per capita, in Afl. ]]-P35)/P35</f>
        <v>5.7739603638306228E-2</v>
      </c>
      <c r="S36" s="9">
        <f t="shared" si="8"/>
        <v>50949.976755155818</v>
      </c>
      <c r="U36" s="29">
        <f t="shared" si="3"/>
        <v>331.3072896267451</v>
      </c>
      <c r="V36" s="10">
        <f t="shared" si="6"/>
        <v>185.14427731638938</v>
      </c>
      <c r="Y36" t="s">
        <v>42</v>
      </c>
    </row>
    <row r="37" spans="1:25" x14ac:dyDescent="0.25">
      <c r="A37" s="8">
        <v>2019</v>
      </c>
      <c r="B37" s="9">
        <v>5992.14</v>
      </c>
      <c r="C37" s="9">
        <v>4907.8999999999996</v>
      </c>
      <c r="D37" s="9">
        <v>3535.55</v>
      </c>
      <c r="E37" s="9">
        <v>1372.35</v>
      </c>
      <c r="F37" s="9">
        <v>1354.91</v>
      </c>
      <c r="G37" s="9">
        <v>1321.95</v>
      </c>
      <c r="H37" s="9">
        <v>32.96</v>
      </c>
      <c r="I37" s="9">
        <v>3996.94</v>
      </c>
      <c r="J37" s="9">
        <v>4267.6099999999997</v>
      </c>
      <c r="K37" s="10">
        <f t="shared" si="2"/>
        <v>106.67751457167984</v>
      </c>
      <c r="L37" s="9">
        <v>5617.06</v>
      </c>
      <c r="M37" s="10">
        <f t="shared" si="4"/>
        <v>2.1786461168247238</v>
      </c>
      <c r="N37" s="13">
        <v>1.2290800400114321</v>
      </c>
      <c r="O37" s="27">
        <v>109203</v>
      </c>
      <c r="P37" s="9">
        <f>+WebDataS1[[#This Row],[GDP at market prices]]/WebDataS1[[#This Row],[Mid-year population ]]*1000000</f>
        <v>54871.569462377411</v>
      </c>
      <c r="Q37" s="9">
        <f t="shared" si="9"/>
        <v>30654.508079540454</v>
      </c>
      <c r="R37" s="12">
        <f>+(WebDataS1[[#This Row],[ GDP per capita, in Afl. ]]-P36)/P36</f>
        <v>1.9026216430972215E-2</v>
      </c>
      <c r="S37" s="9">
        <f t="shared" si="8"/>
        <v>51436.865287583678</v>
      </c>
      <c r="U37" s="29">
        <f t="shared" si="3"/>
        <v>335.37932139465033</v>
      </c>
      <c r="V37" s="10">
        <f t="shared" si="6"/>
        <v>186.91355438403539</v>
      </c>
      <c r="Y37" t="s">
        <v>42</v>
      </c>
    </row>
    <row r="38" spans="1:25" x14ac:dyDescent="0.25">
      <c r="A38" s="14">
        <v>2020</v>
      </c>
      <c r="B38" s="9">
        <v>4405.29</v>
      </c>
      <c r="C38" s="9">
        <v>4039.84</v>
      </c>
      <c r="D38" s="9">
        <v>2749.84</v>
      </c>
      <c r="E38" s="9">
        <v>1290</v>
      </c>
      <c r="F38" s="9">
        <v>1054.23</v>
      </c>
      <c r="G38" s="9">
        <v>1022.15</v>
      </c>
      <c r="H38" s="9">
        <v>32.090000000000003</v>
      </c>
      <c r="I38" s="9">
        <v>2370.16</v>
      </c>
      <c r="J38" s="9">
        <v>3058.94</v>
      </c>
      <c r="K38" s="10">
        <f t="shared" si="2"/>
        <v>103.11187779998782</v>
      </c>
      <c r="L38" s="9">
        <v>4272.34</v>
      </c>
      <c r="M38" s="10">
        <f t="shared" si="4"/>
        <v>-26.482191671089133</v>
      </c>
      <c r="N38" s="13">
        <v>-23.939925868692878</v>
      </c>
      <c r="O38" s="27">
        <v>108587</v>
      </c>
      <c r="P38" s="9">
        <f>+WebDataS1[[#This Row],[GDP at market prices]]/WebDataS1[[#This Row],[Mid-year population ]]*1000000</f>
        <v>40569.220993304909</v>
      </c>
      <c r="Q38" s="9">
        <f t="shared" si="9"/>
        <v>22664.369270002742</v>
      </c>
      <c r="R38" s="12">
        <f>+(WebDataS1[[#This Row],[ GDP per capita, in Afl. ]]-P37)/P37</f>
        <v>-0.26065134657536776</v>
      </c>
      <c r="S38" s="9">
        <f t="shared" si="8"/>
        <v>39344.857119176326</v>
      </c>
      <c r="U38" s="29">
        <f t="shared" si="3"/>
        <v>255.08976047384579</v>
      </c>
      <c r="V38" s="10">
        <f t="shared" si="6"/>
        <v>142.97308068367971</v>
      </c>
      <c r="Y38" t="s">
        <v>42</v>
      </c>
    </row>
    <row r="39" spans="1:25" x14ac:dyDescent="0.25">
      <c r="A39" s="14">
        <v>2021</v>
      </c>
      <c r="B39" s="9">
        <v>5171.8599999999997</v>
      </c>
      <c r="C39" s="9">
        <v>4375.6899999999996</v>
      </c>
      <c r="D39" s="9">
        <v>3197.53</v>
      </c>
      <c r="E39" s="9">
        <v>1178.1600000000001</v>
      </c>
      <c r="F39" s="9">
        <v>1047.72</v>
      </c>
      <c r="G39" s="9">
        <v>1002.1</v>
      </c>
      <c r="H39" s="9">
        <v>45.62</v>
      </c>
      <c r="I39" s="9">
        <v>3481.88</v>
      </c>
      <c r="J39" s="9">
        <v>3733.43</v>
      </c>
      <c r="K39" s="10">
        <f t="shared" si="2"/>
        <v>105.41735968431007</v>
      </c>
      <c r="L39" s="9">
        <v>4906.08</v>
      </c>
      <c r="M39" s="10">
        <f t="shared" si="4"/>
        <v>17.401124557066609</v>
      </c>
      <c r="N39" s="13">
        <v>14.83355725433837</v>
      </c>
      <c r="O39" s="27">
        <v>107700</v>
      </c>
      <c r="P39" s="9">
        <f>+WebDataS1[[#This Row],[GDP at market prices]]/WebDataS1[[#This Row],[Mid-year population ]]*1000000</f>
        <v>48020.984215413184</v>
      </c>
      <c r="Q39" s="9">
        <f t="shared" si="9"/>
        <v>26827.365483471051</v>
      </c>
      <c r="R39" s="12">
        <f>+(WebDataS1[[#This Row],[ GDP per capita, in Afl. ]]-P38)/P38</f>
        <v>0.18368021469621096</v>
      </c>
      <c r="S39" s="9">
        <f t="shared" si="8"/>
        <v>45553.203342618384</v>
      </c>
      <c r="U39" s="29">
        <f t="shared" si="3"/>
        <v>292.9286461436883</v>
      </c>
      <c r="V39" s="10">
        <f t="shared" si="6"/>
        <v>165.53324357428986</v>
      </c>
      <c r="Y39" t="s">
        <v>42</v>
      </c>
    </row>
    <row r="40" spans="1:25" x14ac:dyDescent="0.25">
      <c r="A40" s="14">
        <v>2022</v>
      </c>
      <c r="B40" s="9">
        <v>5954.74</v>
      </c>
      <c r="C40" s="9">
        <v>4729.78</v>
      </c>
      <c r="D40" s="9">
        <v>3444.08</v>
      </c>
      <c r="E40" s="9">
        <v>1285.7</v>
      </c>
      <c r="F40" s="9">
        <v>1169.74</v>
      </c>
      <c r="G40" s="9">
        <v>1153.03</v>
      </c>
      <c r="H40" s="9">
        <v>16.71</v>
      </c>
      <c r="I40" s="9">
        <v>4808.03</v>
      </c>
      <c r="J40" s="9">
        <v>4752.8</v>
      </c>
      <c r="K40" s="10">
        <f t="shared" si="2"/>
        <v>109.73404686613151</v>
      </c>
      <c r="L40" s="9">
        <v>5426.52</v>
      </c>
      <c r="M40" s="10">
        <f t="shared" si="4"/>
        <v>15.137300700328318</v>
      </c>
      <c r="N40" s="13">
        <v>10.608061833480109</v>
      </c>
      <c r="O40" s="27">
        <v>107310</v>
      </c>
      <c r="P40" s="9">
        <f>+WebDataS1[[#This Row],[GDP at market prices]]/WebDataS1[[#This Row],[Mid-year population ]]*1000000</f>
        <v>55491.007361848846</v>
      </c>
      <c r="Q40" s="9">
        <f t="shared" si="9"/>
        <v>31000.562771982593</v>
      </c>
      <c r="R40" s="12">
        <f>+(WebDataS1[[#This Row],[ GDP per capita, in Afl. ]]-P39)/P39</f>
        <v>0.15555747697561823</v>
      </c>
      <c r="S40" s="9">
        <f t="shared" si="8"/>
        <v>50568.632932625107</v>
      </c>
      <c r="U40" s="29">
        <f t="shared" si="3"/>
        <v>324.00269805458692</v>
      </c>
      <c r="V40" s="10">
        <f t="shared" si="6"/>
        <v>183.75853328021822</v>
      </c>
      <c r="Y40" t="s">
        <v>42</v>
      </c>
    </row>
    <row r="41" spans="1:25" x14ac:dyDescent="0.25">
      <c r="A41" s="14">
        <v>2023</v>
      </c>
      <c r="B41" s="9">
        <v>6706.37</v>
      </c>
      <c r="C41" s="9">
        <v>5071.3900000000003</v>
      </c>
      <c r="D41" s="9">
        <v>3666.94</v>
      </c>
      <c r="E41" s="9">
        <v>1404.44</v>
      </c>
      <c r="F41" s="9">
        <v>1232.69</v>
      </c>
      <c r="G41" s="9">
        <v>1218.56</v>
      </c>
      <c r="H41" s="9">
        <v>14.13</v>
      </c>
      <c r="I41" s="9">
        <v>5355.63</v>
      </c>
      <c r="J41" s="9">
        <v>4953.34</v>
      </c>
      <c r="K41" s="10">
        <f t="shared" si="2"/>
        <v>112.84637854791919</v>
      </c>
      <c r="L41" s="9">
        <v>5942.92</v>
      </c>
      <c r="M41" s="10">
        <f t="shared" si="4"/>
        <v>12.62238149776481</v>
      </c>
      <c r="N41" s="15">
        <v>9.5162277113140625</v>
      </c>
      <c r="O41" s="27">
        <v>107359</v>
      </c>
      <c r="P41" s="9">
        <f>+WebDataS1[[#This Row],[GDP at market prices]]/WebDataS1[[#This Row],[Mid-year population ]]*1000000</f>
        <v>62466.770368576457</v>
      </c>
      <c r="Q41" s="9">
        <f t="shared" si="9"/>
        <v>34897.637077417014</v>
      </c>
      <c r="R41" s="12">
        <f>+(WebDataS1[[#This Row],[ GDP per capita, in Afl. ]]-P40)/P40</f>
        <v>0.12570979224146478</v>
      </c>
      <c r="S41" s="9">
        <f t="shared" si="8"/>
        <v>55355.582671224583</v>
      </c>
      <c r="U41" s="29">
        <f t="shared" si="3"/>
        <v>354.83553259226272</v>
      </c>
      <c r="V41" s="10">
        <f t="shared" si="6"/>
        <v>201.15356280421489</v>
      </c>
      <c r="Y41" t="s">
        <v>42</v>
      </c>
    </row>
    <row r="42" spans="1:25" x14ac:dyDescent="0.25">
      <c r="A42" s="8">
        <v>2024</v>
      </c>
      <c r="B42" s="9">
        <v>7373.711161074064</v>
      </c>
      <c r="C42" s="9">
        <v>5295.9497772652576</v>
      </c>
      <c r="D42" s="9">
        <v>3815.6560375405702</v>
      </c>
      <c r="E42" s="9">
        <v>1480.2937397246878</v>
      </c>
      <c r="F42" s="9">
        <v>1550.0380304511714</v>
      </c>
      <c r="G42" s="9">
        <v>1533.7193164872815</v>
      </c>
      <c r="H42" s="9">
        <v>15.950333120422311</v>
      </c>
      <c r="I42" s="9">
        <v>6064.6874867820879</v>
      </c>
      <c r="J42" s="9">
        <v>5536.5957525809854</v>
      </c>
      <c r="K42" s="10">
        <f t="shared" si="2"/>
        <v>115.90734358168406</v>
      </c>
      <c r="L42" s="9">
        <v>6361.7290615219263</v>
      </c>
      <c r="M42" s="10">
        <f t="shared" si="4"/>
        <v>9.9508550985714184</v>
      </c>
      <c r="N42" s="15">
        <v>7.047193324526102</v>
      </c>
      <c r="O42" s="27">
        <v>108016</v>
      </c>
      <c r="P42" s="9">
        <f>+WebDataS1[[#This Row],[GDP at market prices]]/WebDataS1[[#This Row],[Mid-year population ]]*1000000</f>
        <v>68264.99001142483</v>
      </c>
      <c r="Q42" s="9">
        <f t="shared" si="9"/>
        <v>38136.865928170293</v>
      </c>
      <c r="R42" s="12">
        <f>+(WebDataS1[[#This Row],[ GDP per capita, in Afl. ]]-P41)/P41</f>
        <v>9.2820864735551192E-2</v>
      </c>
      <c r="S42" s="9">
        <f t="shared" si="8"/>
        <v>58896.173358779495</v>
      </c>
      <c r="U42" s="29">
        <f t="shared" si="3"/>
        <v>379.84147855815127</v>
      </c>
      <c r="V42" s="10">
        <f t="shared" si="6"/>
        <v>214.019517724482</v>
      </c>
      <c r="Y42" t="s">
        <v>43</v>
      </c>
    </row>
    <row r="43" spans="1:25" x14ac:dyDescent="0.25">
      <c r="A43" s="14">
        <v>2025</v>
      </c>
      <c r="B43" s="9">
        <v>7912.1</v>
      </c>
      <c r="C43" s="9">
        <f>C42*(1+7.9/100)</f>
        <v>5714.3298096692124</v>
      </c>
      <c r="D43" s="9">
        <f>D42*(1+9.4/100)</f>
        <v>4174.3277050693841</v>
      </c>
      <c r="E43" s="9">
        <f>E42*(1+3.6/100)</f>
        <v>1533.5843143547766</v>
      </c>
      <c r="F43" s="9">
        <f>F42*(1+8.7/100)</f>
        <v>1684.8913391004232</v>
      </c>
      <c r="G43" s="9">
        <f>G42*(1+8.5/100)</f>
        <v>1664.0854583887003</v>
      </c>
      <c r="H43" s="9">
        <f>H42*(1+25.4/100)</f>
        <v>20.001717733009578</v>
      </c>
      <c r="I43" s="9">
        <f>I42*(1+6.5/100)</f>
        <v>6458.8921734229234</v>
      </c>
      <c r="J43" s="9">
        <f>J42*(1+5.3/100)</f>
        <v>5830.0353274677773</v>
      </c>
      <c r="K43" s="10">
        <f t="shared" si="2"/>
        <v>118.71474012723561</v>
      </c>
      <c r="L43" s="9">
        <v>6664.8</v>
      </c>
      <c r="M43" s="10">
        <f t="shared" si="4"/>
        <v>7.3014636343243202</v>
      </c>
      <c r="N43" s="15">
        <v>6.3</v>
      </c>
      <c r="O43" s="27">
        <v>109545</v>
      </c>
      <c r="P43" s="9">
        <f>+WebDataS1[[#This Row],[GDP at market prices]]/WebDataS1[[#This Row],[Mid-year population ]]*1000000</f>
        <v>72226.93870099046</v>
      </c>
      <c r="Q43" s="9">
        <f t="shared" si="9"/>
        <v>40350.245084352209</v>
      </c>
      <c r="R43" s="12">
        <f>+(WebDataS1[[#This Row],[ GDP per capita, in Afl. ]]-P42)/P42</f>
        <v>5.8037783187290561E-2</v>
      </c>
      <c r="S43" s="9">
        <f t="shared" si="8"/>
        <v>60840.750376557582</v>
      </c>
      <c r="U43" s="29">
        <f t="shared" si="3"/>
        <v>397.93701709276121</v>
      </c>
      <c r="V43" s="10">
        <f t="shared" si="6"/>
        <v>221.08580763414619</v>
      </c>
      <c r="Y43" t="s">
        <v>44</v>
      </c>
    </row>
    <row r="44" spans="1:25" x14ac:dyDescent="0.25">
      <c r="A44" s="14">
        <v>2026</v>
      </c>
      <c r="B44" s="9">
        <v>8291.8808000000008</v>
      </c>
      <c r="C44" s="9">
        <f>C43*(1+7.5/100)</f>
        <v>6142.9045453944027</v>
      </c>
      <c r="D44" s="9">
        <f>D43*(1+8.8/100)</f>
        <v>4541.6685431154901</v>
      </c>
      <c r="E44" s="9">
        <f>E43*(1+3.5/100)</f>
        <v>1587.2597653571936</v>
      </c>
      <c r="F44" s="9">
        <f>F43*(1+5.3/100)</f>
        <v>1774.1905800727457</v>
      </c>
      <c r="G44" s="9">
        <f>G43*(1+5.2/100)</f>
        <v>1750.6179022249128</v>
      </c>
      <c r="H44" s="9">
        <f>H43*(1+12.5/100)</f>
        <v>22.501932449635774</v>
      </c>
      <c r="I44" s="9">
        <f>I43*(1+6.9/100)</f>
        <v>6904.5557333891047</v>
      </c>
      <c r="J44" s="9">
        <f>J43*(1+9.9/100)</f>
        <v>6407.2088248870868</v>
      </c>
      <c r="K44" s="10">
        <f t="shared" si="2"/>
        <v>119.97400930891318</v>
      </c>
      <c r="L44" s="9">
        <v>6911.3975999999993</v>
      </c>
      <c r="M44" s="10">
        <f t="shared" si="4"/>
        <v>4.800000000000006</v>
      </c>
      <c r="N44" s="15">
        <v>3.7</v>
      </c>
      <c r="O44" s="27">
        <v>111482</v>
      </c>
      <c r="P44" s="9"/>
      <c r="Q44" s="9"/>
      <c r="R44" s="16"/>
      <c r="S44" s="9"/>
      <c r="U44" s="29">
        <f t="shared" si="3"/>
        <v>412.66068672519333</v>
      </c>
      <c r="V44" s="10">
        <f t="shared" si="6"/>
        <v>0</v>
      </c>
      <c r="Y44" t="s">
        <v>45</v>
      </c>
    </row>
    <row r="45" spans="1:25" x14ac:dyDescent="0.25">
      <c r="A45" s="14">
        <v>2027</v>
      </c>
      <c r="B45" s="9">
        <v>8689.8910784000018</v>
      </c>
      <c r="C45" s="9">
        <f>C44*(1+3.3/100)</f>
        <v>6345.6203953924178</v>
      </c>
      <c r="D45" s="9">
        <f>D44*(1+3.4/100)</f>
        <v>4696.0852735814169</v>
      </c>
      <c r="E45" s="9">
        <f>E44*(1+3.1/100)</f>
        <v>1636.4648180832664</v>
      </c>
      <c r="F45" s="9">
        <f>F44*(1+10.9/100)</f>
        <v>1967.577353300675</v>
      </c>
      <c r="G45" s="9">
        <f>G44*(1+10.9/100)</f>
        <v>1941.4352535674282</v>
      </c>
      <c r="H45" s="9">
        <f>H44*(1+5.6/100)</f>
        <v>23.762040666815377</v>
      </c>
      <c r="I45" s="9">
        <f>I44*(1+3.2/100)</f>
        <v>7125.5015168575565</v>
      </c>
      <c r="J45" s="9">
        <f>J44*(1+3.6/100)</f>
        <v>6637.8683425830222</v>
      </c>
      <c r="K45" s="10">
        <f t="shared" si="2"/>
        <v>122.90592546993257</v>
      </c>
      <c r="L45" s="9">
        <v>7070.3597447999991</v>
      </c>
      <c r="M45" s="10">
        <f t="shared" si="4"/>
        <v>4.8000000000000114</v>
      </c>
      <c r="N45" s="15">
        <v>2.2999999999999998</v>
      </c>
      <c r="O45" s="27"/>
      <c r="P45" s="9"/>
      <c r="Q45" s="9"/>
      <c r="R45" s="16"/>
      <c r="S45" s="9"/>
      <c r="U45" s="29">
        <f t="shared" si="3"/>
        <v>422.15188251987274</v>
      </c>
      <c r="V45" s="10" t="str">
        <f t="shared" si="6"/>
        <v/>
      </c>
      <c r="Y45" t="s">
        <v>45</v>
      </c>
    </row>
    <row r="46" spans="1:25" x14ac:dyDescent="0.25">
      <c r="A46" s="18" t="s">
        <v>39</v>
      </c>
      <c r="B46" s="19">
        <f>+(B45-B19)/B19</f>
        <v>1.5598723283464788</v>
      </c>
      <c r="C46" s="20"/>
      <c r="D46" s="17"/>
      <c r="E46" s="17"/>
      <c r="F46" s="17"/>
      <c r="G46" s="17"/>
      <c r="H46" s="17"/>
      <c r="I46" s="17"/>
      <c r="J46" s="17"/>
      <c r="K46" s="17"/>
      <c r="L46" s="19">
        <f>+(L45-L19)/L19</f>
        <v>0.53915784677061085</v>
      </c>
      <c r="M46" s="17"/>
      <c r="N46" s="17"/>
      <c r="O46" s="28"/>
      <c r="P46" s="17"/>
      <c r="Q46" s="17"/>
      <c r="R46" s="15"/>
      <c r="S46" s="19">
        <f>+(S43-S19)/S19</f>
        <v>0.21106134961944287</v>
      </c>
    </row>
  </sheetData>
  <mergeCells count="3">
    <mergeCell ref="B1:J1"/>
    <mergeCell ref="M1:N1"/>
    <mergeCell ref="P1:S1"/>
  </mergeCells>
  <pageMargins left="0.7" right="0.7" top="0.75" bottom="0.75" header="0.3" footer="0.3"/>
  <ignoredErrors>
    <ignoredError sqref="S4 S5:S17" unlockedFormula="1"/>
  </ignoredErrors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GDP 1986-2027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Martijn Balkestein</dc:creator>
  <cp:lastModifiedBy>Martijn Balkestein</cp:lastModifiedBy>
  <dcterms:created xsi:type="dcterms:W3CDTF">2026-09-24T13:21:29Z</dcterms:created>
  <dcterms:modified xsi:type="dcterms:W3CDTF">2026-09-24T13:50:16Z</dcterms:modified>
</cp:coreProperties>
</file>