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BV_JZenV\Vastgoed\Pacht\Verlengen pacht 2023\Documenten voor openbare inschrijving\"/>
    </mc:Choice>
  </mc:AlternateContent>
  <xr:revisionPtr revIDLastSave="0" documentId="8_{D826EF76-4773-4EE5-85B3-CA2FF7BAA798}" xr6:coauthVersionLast="46" xr6:coauthVersionMax="46" xr10:uidLastSave="{00000000-0000-0000-0000-000000000000}"/>
  <workbookProtection workbookAlgorithmName="SHA-512" workbookHashValue="SOp52bnnRO/fpIHoDB27xKbrURPqSxDPDoHet0CsuMWWv6cMrtky8OMmOi9HCGzqpJwN0V3GPOzTIpXYtgEpGg==" workbookSaltValue="XQSsqcHmn+fmslbZJCUaYw==" workbookSpinCount="100000" lockStructure="1"/>
  <bookViews>
    <workbookView xWindow="28680" yWindow="-120" windowWidth="29040" windowHeight="17640" xr2:uid="{A7BD00E7-A5A1-4A5D-B023-120B471B6715}"/>
  </bookViews>
  <sheets>
    <sheet name="Rekentool Natuur en landschap" sheetId="7" r:id="rId1"/>
    <sheet name="Boerennatuur" sheetId="5" state="hidden" r:id="rId2"/>
    <sheet name="FrieslandCampina" sheetId="1" state="hidden" r:id="rId3"/>
    <sheet name="Berekening Kpi" sheetId="6" state="hidden" r:id="rId4"/>
  </sheets>
  <definedNames>
    <definedName name="_xlnm._FilterDatabase" localSheetId="1" hidden="1">Boerennatuur!$A$1:$K$182</definedName>
    <definedName name="_Hlk26734426" localSheetId="0">'Rekentool Natuur en landschap'!$F$55</definedName>
  </definedNames>
  <calcPr calcId="191028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7" l="1"/>
  <c r="N66" i="7"/>
  <c r="N46" i="7"/>
  <c r="B10" i="7"/>
  <c r="N34" i="7"/>
  <c r="N45" i="7"/>
  <c r="N50" i="7"/>
  <c r="N51" i="7"/>
  <c r="N48" i="7"/>
  <c r="N41" i="7"/>
  <c r="N69" i="7"/>
  <c r="N68" i="7"/>
  <c r="N67" i="7"/>
  <c r="N64" i="7"/>
  <c r="N63" i="7"/>
  <c r="N49" i="7"/>
  <c r="N65" i="7" l="1"/>
  <c r="M28" i="7"/>
  <c r="N28" i="7" s="1"/>
  <c r="M29" i="7"/>
  <c r="N29" i="7" s="1"/>
  <c r="M30" i="7"/>
  <c r="N30" i="7" s="1"/>
  <c r="M27" i="7"/>
  <c r="N27" i="7" l="1"/>
  <c r="M26" i="7"/>
  <c r="T3" i="7" s="1"/>
  <c r="B16" i="7" s="1"/>
  <c r="N32" i="7"/>
  <c r="G54" i="7" l="1"/>
  <c r="N43" i="7"/>
  <c r="G43" i="7"/>
  <c r="N44" i="7"/>
  <c r="G46" i="7"/>
  <c r="N52" i="7"/>
  <c r="N53" i="7"/>
  <c r="N56" i="7"/>
  <c r="G57" i="7"/>
  <c r="N57" i="7"/>
  <c r="N33" i="7" l="1"/>
  <c r="N36" i="7"/>
  <c r="N37" i="7"/>
  <c r="N40" i="7"/>
  <c r="N42" i="7"/>
  <c r="N58" i="7"/>
  <c r="N59" i="7"/>
  <c r="N60" i="7"/>
  <c r="N61" i="7"/>
  <c r="N70" i="7"/>
  <c r="N71" i="7"/>
  <c r="N72" i="7"/>
  <c r="N73" i="7"/>
  <c r="B22" i="7" l="1"/>
  <c r="B15" i="7"/>
  <c r="B17" i="7"/>
  <c r="S19" i="7" s="1"/>
  <c r="B18" i="7"/>
  <c r="T19" i="7" s="1"/>
  <c r="B21" i="7"/>
  <c r="R21" i="7" s="1"/>
  <c r="O22" i="7" l="1"/>
  <c r="P22" i="7"/>
  <c r="R22" i="7"/>
  <c r="M22" i="7"/>
  <c r="Q22" i="7"/>
  <c r="N22" i="7"/>
  <c r="P21" i="7"/>
  <c r="Q21" i="7"/>
  <c r="O21" i="7"/>
  <c r="N21" i="7"/>
  <c r="M21" i="7"/>
  <c r="C21" i="7" s="1"/>
  <c r="S8" i="7"/>
  <c r="S7" i="7"/>
  <c r="T18" i="7"/>
  <c r="T7" i="7"/>
  <c r="T20" i="7"/>
  <c r="S18" i="7"/>
  <c r="T8" i="7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I22" i="5"/>
  <c r="I31" i="5"/>
  <c r="I15" i="5"/>
  <c r="C22" i="7" l="1"/>
  <c r="H21" i="7" s="1"/>
  <c r="T21" i="7"/>
  <c r="U18" i="7" s="1"/>
  <c r="S21" i="7"/>
  <c r="U16" i="7" s="1"/>
  <c r="T10" i="7"/>
  <c r="L18" i="7" s="1"/>
  <c r="S10" i="7"/>
  <c r="L16" i="7" s="1"/>
  <c r="H22" i="6"/>
  <c r="I22" i="6"/>
  <c r="J22" i="6"/>
  <c r="H23" i="6"/>
  <c r="I23" i="6"/>
  <c r="J23" i="6"/>
  <c r="H24" i="6"/>
  <c r="I24" i="6"/>
  <c r="J24" i="6"/>
  <c r="H25" i="6"/>
  <c r="I25" i="6"/>
  <c r="J25" i="6"/>
  <c r="H26" i="6"/>
  <c r="I26" i="6"/>
  <c r="J26" i="6"/>
  <c r="H27" i="6"/>
  <c r="I27" i="6"/>
  <c r="J27" i="6"/>
  <c r="H28" i="6"/>
  <c r="I28" i="6"/>
  <c r="J28" i="6"/>
  <c r="I21" i="6"/>
  <c r="J21" i="6"/>
  <c r="H21" i="6"/>
  <c r="H8" i="6"/>
  <c r="I8" i="6"/>
  <c r="J8" i="6"/>
  <c r="H9" i="6"/>
  <c r="I9" i="6"/>
  <c r="J9" i="6"/>
  <c r="H10" i="6"/>
  <c r="I10" i="6"/>
  <c r="J10" i="6"/>
  <c r="H11" i="6"/>
  <c r="I11" i="6"/>
  <c r="J11" i="6"/>
  <c r="H12" i="6"/>
  <c r="I12" i="6"/>
  <c r="J12" i="6"/>
  <c r="H13" i="6"/>
  <c r="I13" i="6"/>
  <c r="J13" i="6"/>
  <c r="H14" i="6"/>
  <c r="I14" i="6"/>
  <c r="J14" i="6"/>
  <c r="H15" i="6"/>
  <c r="I15" i="6"/>
  <c r="J15" i="6"/>
  <c r="H16" i="6"/>
  <c r="I16" i="6"/>
  <c r="J16" i="6"/>
  <c r="H17" i="6"/>
  <c r="I17" i="6"/>
  <c r="J17" i="6"/>
  <c r="I7" i="6"/>
  <c r="J7" i="6"/>
  <c r="H7" i="6"/>
  <c r="G11" i="1"/>
  <c r="G16" i="1"/>
  <c r="G22" i="1"/>
  <c r="G32" i="1"/>
  <c r="G41" i="1"/>
  <c r="G42" i="1"/>
  <c r="G43" i="1"/>
  <c r="G57" i="1"/>
  <c r="G58" i="1"/>
  <c r="G64" i="1"/>
  <c r="G69" i="1"/>
  <c r="G80" i="1"/>
  <c r="G85" i="1"/>
  <c r="G7" i="1"/>
  <c r="I2" i="1"/>
  <c r="I3" i="1"/>
  <c r="I5" i="1"/>
  <c r="I6" i="1"/>
  <c r="I7" i="1"/>
  <c r="I9" i="1"/>
  <c r="I10" i="1"/>
  <c r="I11" i="1"/>
  <c r="I12" i="1"/>
  <c r="I13" i="1"/>
  <c r="I14" i="1"/>
  <c r="I15" i="1"/>
  <c r="I16" i="1"/>
  <c r="I17" i="1"/>
  <c r="I19" i="1"/>
  <c r="I20" i="1"/>
  <c r="I22" i="1"/>
  <c r="I23" i="1"/>
  <c r="I24" i="1"/>
  <c r="I25" i="1"/>
  <c r="I27" i="1"/>
  <c r="I29" i="1"/>
  <c r="I30" i="1"/>
  <c r="I31" i="1"/>
  <c r="I32" i="1"/>
  <c r="I33" i="1"/>
  <c r="I34" i="1"/>
  <c r="I35" i="1"/>
  <c r="I37" i="1"/>
  <c r="I40" i="1"/>
  <c r="I41" i="1"/>
  <c r="I42" i="1"/>
  <c r="I43" i="1"/>
  <c r="I44" i="1"/>
  <c r="I45" i="1"/>
  <c r="I46" i="1"/>
  <c r="I47" i="1"/>
  <c r="I48" i="1"/>
  <c r="I49" i="1"/>
  <c r="I51" i="1"/>
  <c r="I53" i="1"/>
  <c r="I54" i="1"/>
  <c r="I55" i="1"/>
  <c r="I56" i="1"/>
  <c r="I57" i="1"/>
  <c r="I58" i="1"/>
  <c r="I60" i="1"/>
  <c r="I61" i="1"/>
  <c r="I62" i="1"/>
  <c r="I64" i="1"/>
  <c r="I65" i="1"/>
  <c r="I66" i="1"/>
  <c r="I67" i="1"/>
  <c r="I68" i="1"/>
  <c r="I69" i="1"/>
  <c r="I70" i="1"/>
  <c r="I71" i="1"/>
  <c r="I74" i="1"/>
  <c r="I75" i="1"/>
  <c r="I76" i="1"/>
  <c r="I77" i="1"/>
  <c r="I78" i="1"/>
  <c r="I79" i="1"/>
  <c r="I80" i="1"/>
  <c r="I81" i="1"/>
  <c r="I82" i="1"/>
  <c r="I83" i="1"/>
  <c r="I84" i="1"/>
  <c r="I85" i="1"/>
  <c r="H2" i="1"/>
  <c r="H3" i="1"/>
  <c r="H5" i="1"/>
  <c r="H6" i="1"/>
  <c r="H7" i="1"/>
  <c r="H9" i="1"/>
  <c r="H10" i="1"/>
  <c r="H11" i="1"/>
  <c r="H12" i="1"/>
  <c r="H13" i="1"/>
  <c r="H14" i="1"/>
  <c r="H15" i="1"/>
  <c r="H16" i="1"/>
  <c r="H17" i="1"/>
  <c r="H19" i="1"/>
  <c r="H20" i="1"/>
  <c r="H22" i="1"/>
  <c r="H23" i="1"/>
  <c r="H24" i="1"/>
  <c r="H25" i="1"/>
  <c r="H27" i="1"/>
  <c r="H29" i="1"/>
  <c r="H30" i="1"/>
  <c r="H31" i="1"/>
  <c r="H32" i="1"/>
  <c r="H33" i="1"/>
  <c r="H34" i="1"/>
  <c r="H35" i="1"/>
  <c r="H37" i="1"/>
  <c r="H40" i="1"/>
  <c r="H41" i="1"/>
  <c r="H42" i="1"/>
  <c r="H43" i="1"/>
  <c r="H44" i="1"/>
  <c r="H45" i="1"/>
  <c r="H46" i="1"/>
  <c r="H47" i="1"/>
  <c r="H48" i="1"/>
  <c r="H49" i="1"/>
  <c r="H51" i="1"/>
  <c r="H53" i="1"/>
  <c r="H54" i="1"/>
  <c r="H55" i="1"/>
  <c r="H56" i="1"/>
  <c r="H57" i="1"/>
  <c r="H58" i="1"/>
  <c r="H60" i="1"/>
  <c r="H61" i="1"/>
  <c r="H62" i="1"/>
  <c r="H64" i="1"/>
  <c r="H65" i="1"/>
  <c r="H66" i="1"/>
  <c r="H67" i="1"/>
  <c r="H68" i="1"/>
  <c r="H69" i="1"/>
  <c r="H70" i="1"/>
  <c r="H71" i="1"/>
  <c r="H74" i="1"/>
  <c r="H75" i="1"/>
  <c r="H76" i="1"/>
  <c r="H77" i="1"/>
  <c r="H78" i="1"/>
  <c r="H79" i="1"/>
  <c r="H80" i="1"/>
  <c r="H81" i="1"/>
  <c r="H82" i="1"/>
  <c r="H83" i="1"/>
  <c r="H84" i="1"/>
  <c r="H85" i="1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J19" i="5"/>
  <c r="K19" i="5"/>
  <c r="J20" i="5"/>
  <c r="K20" i="5"/>
  <c r="J21" i="5"/>
  <c r="K21" i="5"/>
  <c r="J22" i="5"/>
  <c r="K22" i="5"/>
  <c r="J23" i="5"/>
  <c r="K23" i="5"/>
  <c r="J24" i="5"/>
  <c r="K24" i="5"/>
  <c r="J25" i="5"/>
  <c r="K25" i="5"/>
  <c r="J26" i="5"/>
  <c r="K26" i="5"/>
  <c r="J27" i="5"/>
  <c r="K27" i="5"/>
  <c r="J28" i="5"/>
  <c r="K28" i="5"/>
  <c r="J29" i="5"/>
  <c r="K29" i="5"/>
  <c r="J30" i="5"/>
  <c r="K30" i="5"/>
  <c r="J31" i="5"/>
  <c r="K31" i="5"/>
  <c r="J32" i="5"/>
  <c r="K32" i="5"/>
  <c r="J33" i="5"/>
  <c r="K33" i="5"/>
  <c r="J34" i="5"/>
  <c r="K34" i="5"/>
  <c r="J35" i="5"/>
  <c r="K35" i="5"/>
  <c r="J36" i="5"/>
  <c r="K36" i="5"/>
  <c r="J37" i="5"/>
  <c r="K37" i="5"/>
  <c r="J38" i="5"/>
  <c r="K38" i="5"/>
  <c r="J39" i="5"/>
  <c r="K39" i="5"/>
  <c r="J40" i="5"/>
  <c r="K40" i="5"/>
  <c r="J41" i="5"/>
  <c r="K41" i="5"/>
  <c r="J42" i="5"/>
  <c r="K42" i="5"/>
  <c r="J43" i="5"/>
  <c r="K43" i="5"/>
  <c r="J44" i="5"/>
  <c r="K44" i="5"/>
  <c r="J45" i="5"/>
  <c r="K45" i="5"/>
  <c r="J46" i="5"/>
  <c r="K46" i="5"/>
  <c r="J47" i="5"/>
  <c r="K47" i="5"/>
  <c r="J48" i="5"/>
  <c r="K48" i="5"/>
  <c r="J49" i="5"/>
  <c r="K49" i="5"/>
  <c r="J50" i="5"/>
  <c r="K50" i="5"/>
  <c r="J51" i="5"/>
  <c r="K51" i="5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4" i="5"/>
  <c r="K64" i="5"/>
  <c r="J65" i="5"/>
  <c r="K65" i="5"/>
  <c r="J66" i="5"/>
  <c r="K66" i="5"/>
  <c r="J67" i="5"/>
  <c r="K67" i="5"/>
  <c r="J68" i="5"/>
  <c r="K68" i="5"/>
  <c r="J69" i="5"/>
  <c r="K69" i="5"/>
  <c r="J84" i="5"/>
  <c r="K84" i="5"/>
  <c r="J85" i="5"/>
  <c r="K85" i="5"/>
  <c r="J86" i="5"/>
  <c r="K86" i="5"/>
  <c r="J87" i="5"/>
  <c r="K87" i="5"/>
  <c r="J88" i="5"/>
  <c r="K88" i="5"/>
  <c r="J89" i="5"/>
  <c r="K89" i="5"/>
  <c r="J90" i="5"/>
  <c r="K90" i="5"/>
  <c r="J91" i="5"/>
  <c r="K91" i="5"/>
  <c r="J92" i="5"/>
  <c r="K92" i="5"/>
  <c r="J93" i="5"/>
  <c r="K93" i="5"/>
  <c r="J94" i="5"/>
  <c r="K94" i="5"/>
  <c r="J95" i="5"/>
  <c r="K95" i="5"/>
  <c r="J96" i="5"/>
  <c r="K96" i="5"/>
  <c r="J97" i="5"/>
  <c r="K97" i="5"/>
  <c r="J98" i="5"/>
  <c r="K98" i="5"/>
  <c r="J99" i="5"/>
  <c r="K99" i="5"/>
  <c r="J100" i="5"/>
  <c r="K100" i="5"/>
  <c r="J101" i="5"/>
  <c r="K101" i="5"/>
  <c r="J102" i="5"/>
  <c r="K102" i="5"/>
  <c r="J107" i="5"/>
  <c r="K107" i="5"/>
  <c r="J108" i="5"/>
  <c r="K108" i="5"/>
  <c r="J109" i="5"/>
  <c r="K109" i="5"/>
  <c r="J110" i="5"/>
  <c r="K110" i="5"/>
  <c r="J111" i="5"/>
  <c r="K111" i="5"/>
  <c r="J112" i="5"/>
  <c r="K112" i="5"/>
  <c r="J113" i="5"/>
  <c r="K113" i="5"/>
  <c r="J116" i="5"/>
  <c r="K116" i="5"/>
  <c r="J117" i="5"/>
  <c r="K117" i="5"/>
  <c r="J118" i="5"/>
  <c r="K118" i="5"/>
  <c r="J119" i="5"/>
  <c r="K119" i="5"/>
  <c r="J120" i="5"/>
  <c r="K120" i="5"/>
  <c r="J121" i="5"/>
  <c r="K121" i="5"/>
  <c r="J122" i="5"/>
  <c r="K122" i="5"/>
  <c r="J123" i="5"/>
  <c r="K123" i="5"/>
  <c r="J124" i="5"/>
  <c r="K124" i="5"/>
  <c r="J125" i="5"/>
  <c r="K125" i="5"/>
  <c r="J126" i="5"/>
  <c r="K126" i="5"/>
  <c r="J127" i="5"/>
  <c r="K127" i="5"/>
  <c r="J128" i="5"/>
  <c r="K128" i="5"/>
  <c r="J129" i="5"/>
  <c r="K129" i="5"/>
  <c r="J135" i="5"/>
  <c r="K135" i="5"/>
  <c r="J136" i="5"/>
  <c r="K136" i="5"/>
  <c r="J137" i="5"/>
  <c r="K137" i="5"/>
  <c r="J138" i="5"/>
  <c r="K138" i="5"/>
  <c r="J139" i="5"/>
  <c r="K139" i="5"/>
  <c r="J140" i="5"/>
  <c r="K140" i="5"/>
  <c r="J141" i="5"/>
  <c r="K141" i="5"/>
  <c r="J142" i="5"/>
  <c r="K142" i="5"/>
  <c r="J143" i="5"/>
  <c r="K143" i="5"/>
  <c r="J144" i="5"/>
  <c r="K144" i="5"/>
  <c r="J145" i="5"/>
  <c r="K145" i="5"/>
  <c r="J146" i="5"/>
  <c r="K146" i="5"/>
  <c r="J147" i="5"/>
  <c r="K147" i="5"/>
  <c r="J148" i="5"/>
  <c r="K148" i="5"/>
  <c r="J149" i="5"/>
  <c r="K149" i="5"/>
  <c r="J150" i="5"/>
  <c r="K150" i="5"/>
  <c r="J151" i="5"/>
  <c r="K151" i="5"/>
  <c r="J152" i="5"/>
  <c r="K152" i="5"/>
  <c r="J153" i="5"/>
  <c r="K153" i="5"/>
  <c r="J154" i="5"/>
  <c r="K154" i="5"/>
  <c r="J155" i="5"/>
  <c r="K155" i="5"/>
  <c r="J156" i="5"/>
  <c r="K156" i="5"/>
  <c r="J157" i="5"/>
  <c r="K157" i="5"/>
  <c r="J158" i="5"/>
  <c r="K158" i="5"/>
  <c r="J159" i="5"/>
  <c r="K159" i="5"/>
  <c r="J160" i="5"/>
  <c r="K160" i="5"/>
  <c r="J161" i="5"/>
  <c r="K161" i="5"/>
  <c r="J162" i="5"/>
  <c r="K162" i="5"/>
  <c r="J163" i="5"/>
  <c r="K163" i="5"/>
  <c r="J164" i="5"/>
  <c r="K164" i="5"/>
  <c r="J165" i="5"/>
  <c r="K165" i="5"/>
  <c r="J166" i="5"/>
  <c r="K166" i="5"/>
  <c r="J174" i="5"/>
  <c r="K174" i="5"/>
  <c r="J175" i="5"/>
  <c r="K175" i="5"/>
  <c r="J176" i="5"/>
  <c r="K176" i="5"/>
  <c r="J177" i="5"/>
  <c r="K177" i="5"/>
  <c r="J178" i="5"/>
  <c r="K178" i="5"/>
  <c r="J179" i="5"/>
  <c r="K179" i="5"/>
  <c r="J180" i="5"/>
  <c r="K180" i="5"/>
  <c r="J181" i="5"/>
  <c r="K181" i="5"/>
  <c r="J182" i="5"/>
  <c r="K182" i="5"/>
  <c r="K2" i="5"/>
  <c r="J2" i="5"/>
  <c r="I107" i="5"/>
  <c r="I117" i="5"/>
  <c r="I121" i="5"/>
  <c r="I122" i="5"/>
  <c r="I123" i="5"/>
  <c r="I135" i="5"/>
  <c r="I136" i="5"/>
  <c r="I137" i="5"/>
  <c r="I138" i="5"/>
  <c r="I139" i="5"/>
  <c r="I140" i="5"/>
  <c r="I141" i="5"/>
  <c r="I146" i="5"/>
  <c r="I154" i="5"/>
  <c r="I155" i="5"/>
  <c r="I160" i="5"/>
  <c r="I161" i="5"/>
  <c r="I162" i="5"/>
  <c r="I163" i="5"/>
  <c r="I164" i="5"/>
  <c r="I165" i="5"/>
  <c r="I174" i="5"/>
  <c r="I175" i="5"/>
  <c r="I176" i="5"/>
  <c r="I177" i="5"/>
  <c r="I178" i="5"/>
  <c r="I179" i="5"/>
  <c r="I180" i="5"/>
  <c r="I181" i="5"/>
  <c r="I182" i="5"/>
  <c r="G12" i="1"/>
  <c r="G68" i="1"/>
  <c r="I118" i="5"/>
  <c r="I159" i="5"/>
  <c r="G29" i="1"/>
  <c r="I16" i="5"/>
  <c r="G61" i="7"/>
  <c r="G27" i="1"/>
  <c r="G58" i="7"/>
  <c r="I17" i="5"/>
  <c r="G62" i="1"/>
  <c r="I113" i="5"/>
  <c r="G60" i="1"/>
  <c r="I124" i="5"/>
  <c r="I151" i="5" l="1"/>
  <c r="G30" i="1"/>
  <c r="G47" i="1"/>
  <c r="I3" i="5"/>
  <c r="I4" i="5"/>
  <c r="I5" i="5"/>
  <c r="I6" i="5"/>
  <c r="I7" i="5"/>
  <c r="G77" i="1"/>
  <c r="I23" i="5"/>
  <c r="I11" i="5"/>
  <c r="I24" i="5"/>
  <c r="I12" i="5"/>
  <c r="I25" i="5"/>
  <c r="I13" i="5"/>
  <c r="I26" i="5"/>
  <c r="I14" i="5"/>
  <c r="I10" i="5"/>
  <c r="I27" i="5"/>
  <c r="I28" i="5"/>
  <c r="I8" i="5"/>
  <c r="I29" i="5"/>
  <c r="I9" i="5"/>
  <c r="G37" i="1"/>
  <c r="I87" i="5"/>
  <c r="I95" i="5"/>
  <c r="I96" i="5"/>
  <c r="I89" i="5"/>
  <c r="I97" i="5"/>
  <c r="I88" i="5"/>
  <c r="I90" i="5"/>
  <c r="I91" i="5"/>
  <c r="I92" i="5"/>
  <c r="I85" i="5"/>
  <c r="I93" i="5"/>
  <c r="I101" i="5"/>
  <c r="I86" i="5"/>
  <c r="I94" i="5"/>
  <c r="I143" i="5"/>
  <c r="I125" i="5"/>
  <c r="G5" i="1"/>
  <c r="G19" i="1"/>
  <c r="G49" i="1"/>
  <c r="I19" i="5"/>
  <c r="I20" i="5"/>
  <c r="G6" i="1"/>
  <c r="I67" i="5"/>
  <c r="I68" i="5"/>
  <c r="G79" i="1"/>
  <c r="G10" i="1"/>
  <c r="I102" i="5"/>
  <c r="I65" i="5"/>
  <c r="I66" i="5"/>
  <c r="I57" i="5"/>
  <c r="I98" i="5"/>
  <c r="I58" i="5"/>
  <c r="I100" i="5"/>
  <c r="I60" i="5"/>
  <c r="I99" i="5"/>
  <c r="I69" i="5"/>
  <c r="I59" i="5"/>
  <c r="I62" i="5"/>
  <c r="I61" i="5"/>
  <c r="I39" i="5"/>
  <c r="I47" i="5"/>
  <c r="I55" i="5"/>
  <c r="I32" i="5"/>
  <c r="I40" i="5"/>
  <c r="I48" i="5"/>
  <c r="I56" i="5"/>
  <c r="I33" i="5"/>
  <c r="I41" i="5"/>
  <c r="I49" i="5"/>
  <c r="I46" i="5"/>
  <c r="I34" i="5"/>
  <c r="I42" i="5"/>
  <c r="I50" i="5"/>
  <c r="I44" i="5"/>
  <c r="I35" i="5"/>
  <c r="I43" i="5"/>
  <c r="I51" i="5"/>
  <c r="I36" i="5"/>
  <c r="I52" i="5"/>
  <c r="I54" i="5"/>
  <c r="I38" i="5"/>
  <c r="I21" i="5"/>
  <c r="I37" i="5"/>
  <c r="I45" i="5"/>
  <c r="I53" i="5"/>
  <c r="G67" i="1"/>
  <c r="I30" i="5"/>
  <c r="I112" i="5"/>
  <c r="I84" i="5"/>
  <c r="G84" i="1"/>
  <c r="G76" i="1"/>
  <c r="G66" i="1"/>
  <c r="G56" i="1"/>
  <c r="G46" i="1"/>
  <c r="G35" i="1"/>
  <c r="G25" i="1"/>
  <c r="G15" i="1"/>
  <c r="I166" i="5"/>
  <c r="I158" i="5"/>
  <c r="I150" i="5"/>
  <c r="I142" i="5"/>
  <c r="I129" i="5"/>
  <c r="I111" i="5"/>
  <c r="G83" i="1"/>
  <c r="G75" i="1"/>
  <c r="G65" i="1"/>
  <c r="G55" i="1"/>
  <c r="G45" i="1"/>
  <c r="G34" i="1"/>
  <c r="G24" i="1"/>
  <c r="G14" i="1"/>
  <c r="I157" i="5"/>
  <c r="I149" i="5"/>
  <c r="I128" i="5"/>
  <c r="I120" i="5"/>
  <c r="I110" i="5"/>
  <c r="G2" i="1"/>
  <c r="G82" i="1"/>
  <c r="G74" i="1"/>
  <c r="G54" i="1"/>
  <c r="G44" i="1"/>
  <c r="G33" i="1"/>
  <c r="G23" i="1"/>
  <c r="G13" i="1"/>
  <c r="I156" i="5"/>
  <c r="I148" i="5"/>
  <c r="I127" i="5"/>
  <c r="I119" i="5"/>
  <c r="I109" i="5"/>
  <c r="G81" i="1"/>
  <c r="G71" i="1"/>
  <c r="G53" i="1"/>
  <c r="I147" i="5"/>
  <c r="I126" i="5"/>
  <c r="I108" i="5"/>
  <c r="G70" i="1"/>
  <c r="G61" i="1"/>
  <c r="G51" i="1"/>
  <c r="G31" i="1"/>
  <c r="G20" i="1"/>
  <c r="I153" i="5"/>
  <c r="I145" i="5"/>
  <c r="I116" i="5"/>
  <c r="I64" i="5"/>
  <c r="G3" i="1"/>
  <c r="G78" i="1"/>
  <c r="G48" i="1"/>
  <c r="G40" i="1"/>
  <c r="G17" i="1"/>
  <c r="G9" i="1"/>
  <c r="I2" i="5"/>
  <c r="I152" i="5"/>
  <c r="I144" i="5"/>
</calcChain>
</file>

<file path=xl/sharedStrings.xml><?xml version="1.0" encoding="utf-8"?>
<sst xmlns="http://schemas.openxmlformats.org/spreadsheetml/2006/main" count="1673" uniqueCount="314">
  <si>
    <t>Bedrijfsnaam:</t>
  </si>
  <si>
    <t>Tanknummer:</t>
  </si>
  <si>
    <t>Adres:</t>
  </si>
  <si>
    <t>Postcode:</t>
  </si>
  <si>
    <t>Woonplaats:</t>
  </si>
  <si>
    <t>oppervlakte(ha) erf:</t>
  </si>
  <si>
    <t>totaal oppervlakte(ha) percelen:</t>
  </si>
  <si>
    <t>Totaal oppervlakte bedrijf</t>
  </si>
  <si>
    <t>On the way to PlanetProof</t>
  </si>
  <si>
    <t>Biodiversiteitsmonitor melkveehouderij</t>
  </si>
  <si>
    <t>û</t>
  </si>
  <si>
    <t>ü</t>
  </si>
  <si>
    <t>Pakketcode BBM</t>
  </si>
  <si>
    <t>Licht pakket?</t>
  </si>
  <si>
    <t>Bespreekpunt werkgroep KPI N&amp;L</t>
  </si>
  <si>
    <t>Meest gelijkende ANLb pakket
qua voorwaarden</t>
  </si>
  <si>
    <t>Vergoeding ANLb-pakket 2020 (per ha)</t>
  </si>
  <si>
    <t>Weging op basis van ha</t>
  </si>
  <si>
    <t>Grondslag weging</t>
  </si>
  <si>
    <t>ANLb of BBM of combinatie</t>
  </si>
  <si>
    <t>Aantal
(ha/stuks)</t>
  </si>
  <si>
    <t>Cumulatie 
(op hetzelfde perceel)</t>
  </si>
  <si>
    <t>ANLb</t>
  </si>
  <si>
    <t>Kruidenrijk grasland (extensief)</t>
  </si>
  <si>
    <t>BBM151</t>
  </si>
  <si>
    <t>Maak keuze</t>
  </si>
  <si>
    <t>ha</t>
  </si>
  <si>
    <t>107 (max. 10 ton ruige mest) en/ of 108</t>
  </si>
  <si>
    <t>7 en/ of 8</t>
  </si>
  <si>
    <t>Kruidenrijk graslandrand (extensief)</t>
  </si>
  <si>
    <t>BBM105</t>
  </si>
  <si>
    <t>5 h en i</t>
  </si>
  <si>
    <t>BBM141</t>
  </si>
  <si>
    <t>Productief kruidenhoudend grasland</t>
  </si>
  <si>
    <t>BBM100</t>
  </si>
  <si>
    <t>niet in ANLb</t>
  </si>
  <si>
    <t>BBM</t>
  </si>
  <si>
    <t xml:space="preserve">n.v.t. </t>
  </si>
  <si>
    <t>Botanisch grasland (extensief)</t>
  </si>
  <si>
    <t>BBM113</t>
  </si>
  <si>
    <t>13 a en b</t>
  </si>
  <si>
    <t>Botanisch graslandrand (extensief)</t>
  </si>
  <si>
    <t>BBM131</t>
  </si>
  <si>
    <t>13  en 32</t>
  </si>
  <si>
    <t>Oude graslanden met kruiden (&gt;20 jaar)</t>
  </si>
  <si>
    <t>BBM155</t>
  </si>
  <si>
    <t>Weidevogelbeheer (Natuur en Landschap)</t>
  </si>
  <si>
    <t>Grasland met rustperiode tot 8 juni</t>
  </si>
  <si>
    <t>BBM101</t>
  </si>
  <si>
    <t>Van 1 juni opgeschoven naar 8 juni</t>
  </si>
  <si>
    <t>1b</t>
  </si>
  <si>
    <t>ANLb beheervergoeding, pakket 1b</t>
  </si>
  <si>
    <t>107 en/ of 108</t>
  </si>
  <si>
    <t>Grasland met rustperiode tot 15 juni</t>
  </si>
  <si>
    <t>BBM102</t>
  </si>
  <si>
    <t xml:space="preserve">Nieuw BBM-pakket </t>
  </si>
  <si>
    <t>1c</t>
  </si>
  <si>
    <t>ANLb beheervergoeding, pakket 1c</t>
  </si>
  <si>
    <t>BBM103</t>
  </si>
  <si>
    <t>3o</t>
  </si>
  <si>
    <t>ANLb beheervergoeding, pakket 3o</t>
  </si>
  <si>
    <t>Cumulatie niet toegestaan</t>
  </si>
  <si>
    <t>BBM104</t>
  </si>
  <si>
    <t>ja</t>
  </si>
  <si>
    <t>Moeten we dit pakket nog wel willen?</t>
  </si>
  <si>
    <t>4a en 4c</t>
  </si>
  <si>
    <t>ANLb beheervergoeding pe nest, pakket 4a en 4c, met uitgangspunt van 1 gevonden nest per 3 ha.</t>
  </si>
  <si>
    <t>Extensief beweid grasland</t>
  </si>
  <si>
    <t>BBM106</t>
  </si>
  <si>
    <t>6c</t>
  </si>
  <si>
    <t>ANLb beheervergoeding, pakket 6c</t>
  </si>
  <si>
    <t>Hoog waterpeil</t>
  </si>
  <si>
    <t>BBM108</t>
  </si>
  <si>
    <t>ICT technisch: dit pakket moet kunnen cumuleren, en dat lukt nog niet.</t>
  </si>
  <si>
    <t>8d</t>
  </si>
  <si>
    <t>ANLb beheervergoeding, pakket 8d</t>
  </si>
  <si>
    <t>lengte in meters</t>
  </si>
  <si>
    <t>151, 105, 141, 100, 113, 131, 155, 101, 102, 106, 130, 107</t>
  </si>
  <si>
    <t>1, 2, 4 (a, d-h), 5, 6, 7, 13, 30, 31 en/ of 32, 41</t>
  </si>
  <si>
    <t>Nest- en foerageergelegenheid zwarte stern</t>
  </si>
  <si>
    <t>BBM130</t>
  </si>
  <si>
    <r>
      <t>ANLb beheervergoeding, pakket 30 x factor 10 (beheervergoeding is gebaseerd op 1.000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>, x 10 = 10.000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 xml:space="preserve"> = 1 ha)</t>
    </r>
  </si>
  <si>
    <t xml:space="preserve">Aantal locaties (met voldoende nestgelegenheden en kruidenrijke rand) </t>
  </si>
  <si>
    <t>Ecologisch water- en bodembeheer (Natuur en Landschap)</t>
  </si>
  <si>
    <t>Natuurvriendelijke oever</t>
  </si>
  <si>
    <t>BBM110</t>
  </si>
  <si>
    <t>10a en 10b</t>
  </si>
  <si>
    <t>Zie toelichting Landschap</t>
  </si>
  <si>
    <r>
      <t>m</t>
    </r>
    <r>
      <rPr>
        <vertAlign val="superscript"/>
        <sz val="12"/>
        <color rgb="FF0087AE"/>
        <rFont val="Verdana"/>
        <family val="2"/>
      </rPr>
      <t>2</t>
    </r>
  </si>
  <si>
    <t>Rietzoom en klein rietperceel</t>
  </si>
  <si>
    <t>BBM111</t>
  </si>
  <si>
    <t>Versimpelen (verlichten) voorwaarden</t>
  </si>
  <si>
    <t>11a en 11b</t>
  </si>
  <si>
    <t>Duurzaam slootbeheer: baggerspuiten</t>
  </si>
  <si>
    <t>BBM112</t>
  </si>
  <si>
    <t>12 a</t>
  </si>
  <si>
    <t>12a</t>
  </si>
  <si>
    <t>Zie toelichting Landschap, echter hier de helft van de wegingsfactor voor Landschap. Onderbouwing: De meerwaarde zit in het feit dat de bagger niet direct naast de sloot mag komen (dus daar hogere kruidenrijkdom), de toegevoegde waarde voor biodiversiteit is laag.</t>
  </si>
  <si>
    <t>12b, 12c, 12,d</t>
  </si>
  <si>
    <t>Duurzaam slootbeheer: ecologisch slootschonen</t>
  </si>
  <si>
    <t>BBM132</t>
  </si>
  <si>
    <t>12  b + c + d</t>
  </si>
  <si>
    <t>12b en 12d</t>
  </si>
  <si>
    <t>Bodemverbetering met ruige mest</t>
  </si>
  <si>
    <t>BBM107</t>
  </si>
  <si>
    <t>Samenvoeging grasland en bouwland</t>
  </si>
  <si>
    <t>7a</t>
  </si>
  <si>
    <t>ANLb beheervergoeding, pakket 7a</t>
  </si>
  <si>
    <t>Bodemverbetering bouwland met gewasresten</t>
  </si>
  <si>
    <t>BBM171</t>
  </si>
  <si>
    <t>39c</t>
  </si>
  <si>
    <t>Nieuw BBM-pakket, copy paste van ANLb.</t>
  </si>
  <si>
    <t>ANLb beheervergoeding, pakket 39c</t>
  </si>
  <si>
    <t>BBM172</t>
  </si>
  <si>
    <t>Uitgangspunt: je mist 1 tot 2 sneden grasland, en dat komt overeen met de inkomstenderving van Grasland met rustperiode tot 8 juni. We hebben deze vergoeding dan ook aangehouden.</t>
  </si>
  <si>
    <t>100, 155</t>
  </si>
  <si>
    <t>Akkerbeheer (Natuur en Landschap)</t>
  </si>
  <si>
    <t>Stoppelland</t>
  </si>
  <si>
    <t>BBM114</t>
  </si>
  <si>
    <t>Nog niet besproken met akkerdeskundige</t>
  </si>
  <si>
    <t>14 a/d</t>
  </si>
  <si>
    <t>Gemiddelde van ANLb beheervergoeding pakket 14 (klei en zand)</t>
  </si>
  <si>
    <t>39b</t>
  </si>
  <si>
    <t>Wintervoedselakker</t>
  </si>
  <si>
    <t>BBM115</t>
  </si>
  <si>
    <t>15b</t>
  </si>
  <si>
    <t>Gemiddelde van ANLb beheervergoeding pakket 15 (klei en zand)</t>
  </si>
  <si>
    <t>Vogelakker</t>
  </si>
  <si>
    <t>BBM116</t>
  </si>
  <si>
    <t>16a of 16b/c?</t>
  </si>
  <si>
    <t>Gemiddelde van ANLb beheervergoeding pakket 16</t>
  </si>
  <si>
    <t>Biodivers inheems bouwland</t>
  </si>
  <si>
    <t>BBM117</t>
  </si>
  <si>
    <t>17a</t>
  </si>
  <si>
    <t>ANLb beheervergoeding, pakket 17a</t>
  </si>
  <si>
    <t>Kruidenrijke akker</t>
  </si>
  <si>
    <t>BBM118</t>
  </si>
  <si>
    <t>ANLb beheervergoeding, pakket 18c</t>
  </si>
  <si>
    <t>Kruidenrijke akkerrand</t>
  </si>
  <si>
    <t>BBM119</t>
  </si>
  <si>
    <t>19 a t/m i</t>
  </si>
  <si>
    <t>Gemiddelde van ANLb beheervergoeding pakket 19 a t/m i (klei en zand)</t>
  </si>
  <si>
    <t>Landschapsbeheer (Natuur en Landschap)</t>
  </si>
  <si>
    <t>Poel en klein historisch water</t>
  </si>
  <si>
    <t>BBM109</t>
  </si>
  <si>
    <t>Hakhoutbeheer</t>
  </si>
  <si>
    <t>BBM120</t>
  </si>
  <si>
    <t>Knot- en/of laanbomen</t>
  </si>
  <si>
    <t>BBM121</t>
  </si>
  <si>
    <t>Toevoeging van BBM 146</t>
  </si>
  <si>
    <r>
      <t>Zie toelichting Landschap, hier echter een extra wegingsfactor van 5, vanwege de theoretische intekening van 1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 xml:space="preserve"> per boom (= voorwaarde ANLb). 1 boom komt in werkelijkheid meer overeen met 5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>. 5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 xml:space="preserve"> x algemene landschapsfactor van 5 = factor 25 voor dit pakket.</t>
    </r>
  </si>
  <si>
    <t>stuks</t>
  </si>
  <si>
    <t>Solitaire boom op landbouwgrond (zie aanvullende besluit voor specifieke randvoorwaarden, o.a. vrijstaand op landbouwgrond. Min 150 cm omtrek of min 50 cm doorsnede  op 1,30 cm hoogte, max 5 bomen per ha</t>
  </si>
  <si>
    <t>BBM146</t>
  </si>
  <si>
    <t>Samenvoeging met BBM 121?</t>
  </si>
  <si>
    <t>Knip- en scheerheg</t>
  </si>
  <si>
    <t>BBM122</t>
  </si>
  <si>
    <t>Struweelhaag</t>
  </si>
  <si>
    <t>BBM123</t>
  </si>
  <si>
    <t>Struweelrand</t>
  </si>
  <si>
    <t>BBM124</t>
  </si>
  <si>
    <t>Half- en hoogstamboomgaard</t>
  </si>
  <si>
    <t>BBM126</t>
  </si>
  <si>
    <t>Hakhoutbosje</t>
  </si>
  <si>
    <t>BBM127</t>
  </si>
  <si>
    <t>Griendje</t>
  </si>
  <si>
    <t>BBM128</t>
  </si>
  <si>
    <t>Bosje</t>
  </si>
  <si>
    <t>BBM129</t>
  </si>
  <si>
    <t>Nest- en broedgelegenheid erf (licht)</t>
  </si>
  <si>
    <t>BBM220</t>
  </si>
  <si>
    <t>Andere inhoud / aanpak pakket</t>
  </si>
  <si>
    <r>
      <t>Voldoen aan pakket staat gelijk aan 1000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 xml:space="preserve"> </t>
    </r>
  </si>
  <si>
    <t>ja/nee</t>
  </si>
  <si>
    <t>Nest- en broedgelegenheid erf (zwaar)</t>
  </si>
  <si>
    <r>
      <t>Voldoen aan pakket staat gelijk aan 2000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 xml:space="preserve"> </t>
    </r>
  </si>
  <si>
    <t>Opgaande beplanting op erf (licht)</t>
  </si>
  <si>
    <t>BBM230</t>
  </si>
  <si>
    <t xml:space="preserve">ja/nee </t>
  </si>
  <si>
    <t>Opgaande beplanting op erf (zwaar)</t>
  </si>
  <si>
    <t>Pakketgroep</t>
  </si>
  <si>
    <t>Beheerpakket Code</t>
  </si>
  <si>
    <t>Pakketnaam</t>
  </si>
  <si>
    <t>Oppervlakte (ha)</t>
  </si>
  <si>
    <t>Deelnemer naam</t>
  </si>
  <si>
    <t>Labels</t>
  </si>
  <si>
    <t>aard bedrijf</t>
  </si>
  <si>
    <t>grondsoort</t>
  </si>
  <si>
    <t xml:space="preserve">Weging </t>
  </si>
  <si>
    <t>Weging alt 1</t>
  </si>
  <si>
    <t>Weging alt 2</t>
  </si>
  <si>
    <t>Weidevogelbeheer</t>
  </si>
  <si>
    <t>(Greppel-) Plas-dras</t>
  </si>
  <si>
    <t>SHV 1 HK</t>
  </si>
  <si>
    <t>1TBO</t>
  </si>
  <si>
    <t>gangbaar</t>
  </si>
  <si>
    <t>veen</t>
  </si>
  <si>
    <t>Grasland met rustperiode</t>
  </si>
  <si>
    <t>Legselbeheer</t>
  </si>
  <si>
    <t>Beheer op het erf</t>
  </si>
  <si>
    <t>Nestgelegenheid en beplanting erfvogels</t>
  </si>
  <si>
    <t>Landschapsbeheer</t>
  </si>
  <si>
    <t>THL 1 MH</t>
  </si>
  <si>
    <t>zand</t>
  </si>
  <si>
    <t>KRGL</t>
  </si>
  <si>
    <t>Botanisch graslandrand</t>
  </si>
  <si>
    <t>Ecologisch water- en bodembeheer</t>
  </si>
  <si>
    <t>Bodemverbetering bouwland met ruige mest</t>
  </si>
  <si>
    <t>Beheer van bomenrijen</t>
  </si>
  <si>
    <t>CAM 1 HGW S</t>
  </si>
  <si>
    <t>klei op veen</t>
  </si>
  <si>
    <t>Nesten beschermen op grasland in combinatie met plas-dras/kruidenrijk grasland</t>
  </si>
  <si>
    <t>SHV 2 WC</t>
  </si>
  <si>
    <t>bio</t>
  </si>
  <si>
    <t>1 april tot 15 juni</t>
  </si>
  <si>
    <t>15 februari tot 15 juni, minstens 5 cm</t>
  </si>
  <si>
    <t>ruige mest</t>
  </si>
  <si>
    <t>Botanisch grasland</t>
  </si>
  <si>
    <t>rust 1 mei tot 1 augustus, 2 weken</t>
  </si>
  <si>
    <t>rust 1 mei tot 1 augustus, 3 weken</t>
  </si>
  <si>
    <t>rust van 1 april tot 1 juni</t>
  </si>
  <si>
    <t>CAM 2 MH VW</t>
  </si>
  <si>
    <t>Kuikenvelden</t>
  </si>
  <si>
    <t>Leibomen bij historische boerderij</t>
  </si>
  <si>
    <t>LEM 1 MPR</t>
  </si>
  <si>
    <t>Solitaire boom op landbouwgrond</t>
  </si>
  <si>
    <t>LEM 2 MFV</t>
  </si>
  <si>
    <t>botanisch hooiland: beoordeling beperkt/matig</t>
  </si>
  <si>
    <t>LEM 3 GS</t>
  </si>
  <si>
    <t>Bedrijf</t>
  </si>
  <si>
    <t>pcode</t>
  </si>
  <si>
    <t>totaaloppervlaktepakket</t>
  </si>
  <si>
    <t>Schouw</t>
  </si>
  <si>
    <t>bedrijfsoppervlakte</t>
  </si>
  <si>
    <t>Weging</t>
  </si>
  <si>
    <t>grasland met rustperiode</t>
  </si>
  <si>
    <t>legselbeheer</t>
  </si>
  <si>
    <t>kruidenrijk grasland</t>
  </si>
  <si>
    <t>hoog waterpeil</t>
  </si>
  <si>
    <t>botanisch waardevol grasland</t>
  </si>
  <si>
    <t>rietzoom en klein rietperceel</t>
  </si>
  <si>
    <t>Structuurrijk grasland</t>
  </si>
  <si>
    <t>plas-dras</t>
  </si>
  <si>
    <t>kruidenrijke akkerranden</t>
  </si>
  <si>
    <t>duurzaam slootbeheer</t>
  </si>
  <si>
    <t>hakhoutbeheer</t>
  </si>
  <si>
    <t>boom op landbouwgrond</t>
  </si>
  <si>
    <t>Bodemverbetering grasland met ruige mest</t>
  </si>
  <si>
    <t>bosje</t>
  </si>
  <si>
    <t>Kruidenrijk grasland</t>
  </si>
  <si>
    <t>Rijlabels</t>
  </si>
  <si>
    <t>Average of bedrijfsoppervlakte</t>
  </si>
  <si>
    <t>Sum of Weging</t>
  </si>
  <si>
    <t>Sum of Weging alt 1</t>
  </si>
  <si>
    <t>Sum of Weging alt 2</t>
  </si>
  <si>
    <t>KPI1</t>
  </si>
  <si>
    <t>KPI2</t>
  </si>
  <si>
    <t>KPI3</t>
  </si>
  <si>
    <t>Eindtotaal</t>
  </si>
  <si>
    <t>Bedrijfsoppervlakte</t>
  </si>
  <si>
    <t xml:space="preserve">Sum of Weging </t>
  </si>
  <si>
    <t>Combinatie</t>
  </si>
  <si>
    <t>basis 2022</t>
  </si>
  <si>
    <t>top 2022</t>
  </si>
  <si>
    <t>basis 2024</t>
  </si>
  <si>
    <t>top 2024</t>
  </si>
  <si>
    <t>erfpakket</t>
  </si>
  <si>
    <t>1 a, b, q, r, s</t>
  </si>
  <si>
    <t>1c t/m p+t</t>
  </si>
  <si>
    <t>(greppel)Plas-dras</t>
  </si>
  <si>
    <t>107, 108, 172</t>
  </si>
  <si>
    <t>107, 172</t>
  </si>
  <si>
    <t>14, 15, 16, 17, 18</t>
  </si>
  <si>
    <t>100, 101, 102, 105, 106, 151, 155, 114, 115, 116, 117, 118</t>
  </si>
  <si>
    <t xml:space="preserve">Basisnorm 5%
Topnorm 10 % </t>
  </si>
  <si>
    <t>Basisnorm 10%
Topnorm 15%</t>
  </si>
  <si>
    <t>Basisnorm 
2022 en 2023</t>
  </si>
  <si>
    <t>Basisnorm 
2024</t>
  </si>
  <si>
    <t>Topniveau 
2022 en 2023</t>
  </si>
  <si>
    <t>Topniveau 
2024</t>
  </si>
  <si>
    <t>Basisnorm nvt
Topnorm minimaal 5% extensief</t>
  </si>
  <si>
    <t>Totaal Natuur en Landschap 
(incl. grasland en verplicht erfbeheerpakket)</t>
  </si>
  <si>
    <t>Erfbeheerpakket (BBM 220 of 230)
(verplicht minimaal 1 pakket vanaf 2022)</t>
  </si>
  <si>
    <r>
      <t xml:space="preserve">Erfbeheer (Natuur en Landschap)
</t>
    </r>
    <r>
      <rPr>
        <b/>
        <sz val="10"/>
        <color rgb="FFFF0000"/>
        <rFont val="Verdana"/>
        <family val="2"/>
      </rPr>
      <t>Voor On the way to PlanetProof minimaal 1 pakket verplicht vanaf 2022</t>
    </r>
    <r>
      <rPr>
        <b/>
        <sz val="16"/>
        <color rgb="FF0087AE"/>
        <rFont val="Verdana"/>
        <family val="2"/>
      </rPr>
      <t xml:space="preserve"> </t>
    </r>
  </si>
  <si>
    <r>
      <t>Graslandbeheer (alleen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rgb="FF00B050"/>
        <rFont val="Verdana"/>
        <family val="2"/>
      </rPr>
      <t>groen</t>
    </r>
    <r>
      <rPr>
        <b/>
        <sz val="16"/>
        <color rgb="FF92D050"/>
        <rFont val="Verdana"/>
        <family val="2"/>
      </rPr>
      <t xml:space="preserve"> </t>
    </r>
    <r>
      <rPr>
        <b/>
        <sz val="16"/>
        <color rgb="FF0087AE"/>
        <rFont val="Verdana"/>
        <family val="2"/>
      </rPr>
      <t xml:space="preserve">gearceerd telt mee met percentage </t>
    </r>
    <r>
      <rPr>
        <b/>
        <sz val="16"/>
        <color rgb="FF00B050"/>
        <rFont val="Verdana"/>
        <family val="2"/>
      </rPr>
      <t>extensief</t>
    </r>
    <r>
      <rPr>
        <b/>
        <sz val="16"/>
        <color rgb="FF0087AE"/>
        <rFont val="Verdana"/>
        <family val="2"/>
      </rPr>
      <t xml:space="preserve"> graslandbeheer</t>
    </r>
  </si>
  <si>
    <t xml:space="preserve">Voldoet? </t>
  </si>
  <si>
    <t>Score (%)</t>
  </si>
  <si>
    <t xml:space="preserve">Verplicht 1 pakket </t>
  </si>
  <si>
    <t>Topnorm minimaal 5%</t>
  </si>
  <si>
    <t xml:space="preserve">Basisnorm 5% 
Top norm 10%,
 (minimaal 5% extensief) </t>
  </si>
  <si>
    <t>Norm 2022/2023</t>
  </si>
  <si>
    <t>Norm 2024</t>
  </si>
  <si>
    <t>Invulwijzer:</t>
  </si>
  <si>
    <t>Percentage Graslandbeheer 
(alleen extensief)</t>
  </si>
  <si>
    <t xml:space="preserve">Percentage Graslandbeheer </t>
  </si>
  <si>
    <t>Percentage Natuur en Landschap (KPI) (exclusief graslandbeheer)</t>
  </si>
  <si>
    <r>
      <t xml:space="preserve">5
</t>
    </r>
    <r>
      <rPr>
        <sz val="12"/>
        <color rgb="FFFF0000"/>
        <rFont val="Verdana"/>
        <family val="2"/>
      </rPr>
      <t>of SNL N12.02 of N13.01 of N10.1 of N10.2</t>
    </r>
  </si>
  <si>
    <t>Percentage Kruidenrijkgrasland (KPI)</t>
  </si>
  <si>
    <r>
      <t xml:space="preserve">Kunstmestvrij 
</t>
    </r>
    <r>
      <rPr>
        <b/>
        <sz val="9"/>
        <color theme="0" tint="-0.499984740745262"/>
        <rFont val="Verdana"/>
        <family val="2"/>
      </rPr>
      <t xml:space="preserve">Telt niet mee in de score van Planetproof </t>
    </r>
    <r>
      <rPr>
        <sz val="12"/>
        <color theme="0" tint="-0.499984740745262"/>
        <rFont val="Verdana"/>
        <family val="2"/>
      </rPr>
      <t xml:space="preserve"> </t>
    </r>
  </si>
  <si>
    <t>Eenheid</t>
  </si>
  <si>
    <t xml:space="preserve">ANLb/SNL </t>
  </si>
  <si>
    <t>Naam pakket</t>
  </si>
  <si>
    <t>Overgangspakket naar kruidenrijk grasland (extensief)</t>
  </si>
  <si>
    <t xml:space="preserve">Legselbeheer </t>
  </si>
  <si>
    <t>&lt;5</t>
  </si>
  <si>
    <t>&gt;5 &lt;10</t>
  </si>
  <si>
    <t>&gt;10 &lt;15</t>
  </si>
  <si>
    <t>&gt;15 &lt;20</t>
  </si>
  <si>
    <t>&gt;20 &lt;25</t>
  </si>
  <si>
    <t>&gt; 25</t>
  </si>
  <si>
    <r>
      <t>Het behalen van een score via deze rekentool is relevant indien:  
1) u niet deelneemt aan een voor certificaat of verduurzamingsproject met een score, maar wel ANLb of SNL contracten heeft voor natuur en landschapsbeheer 
2) de score voor een certificaat (bv Skal/On the way to PlanetProof of deelname aan de Brabantse Biodiversiteitsmonitor Melkveehouderij lager is dan de score die u voor de uitvoering van uw natuur en landschapsbeheer behaald. Dit is het geval als er een onderscheidend hoog percentage kruidenrijkgrasland- of natuur en landschapsbeheer wordt uitgevoerd. 
Vul de bovenstaande gevraagde gegevens in de</t>
    </r>
    <r>
      <rPr>
        <b/>
        <sz val="11"/>
        <color rgb="FF0087AE"/>
        <rFont val="Verdana"/>
        <family val="2"/>
      </rPr>
      <t xml:space="preserve"> </t>
    </r>
    <r>
      <rPr>
        <b/>
        <u/>
        <sz val="11"/>
        <color rgb="FF0087AE"/>
        <rFont val="Verdana"/>
        <family val="2"/>
      </rPr>
      <t>blauw gearceerde vakjes</t>
    </r>
    <r>
      <rPr>
        <sz val="11"/>
        <color rgb="FF0087AE"/>
        <rFont val="Verdana"/>
        <family val="2"/>
      </rPr>
      <t xml:space="preserve"> volledig in! Oppervlakte erf en percelen zijn verplichte velden (conform gecombineerde opgave (GDI)). 
</t>
    </r>
    <r>
      <rPr>
        <b/>
        <sz val="11"/>
        <color rgb="FF0087AE"/>
        <rFont val="Verdana"/>
        <family val="2"/>
      </rPr>
      <t>Let op!</t>
    </r>
    <r>
      <rPr>
        <sz val="11"/>
        <color rgb="FF0087AE"/>
        <rFont val="Verdana"/>
        <family val="2"/>
      </rPr>
      <t xml:space="preserve"> De rekentool werkt pas als de oppervlakten van het erf en de percelen zijn ingevuld.
Registreer in onderstaande tabel de beheerpakketten. U kunt alleen de blauw gearceerde vakken invullen: 
- Geef in de kolom "aantal (ha/stuk)" de hoeveelheid aan.
- In de kolom Cumulatie (kolom Q en R) is aangeven welke pakketten op hetzelfde oppervlak kunnen worden gecombineerd. 
</t>
    </r>
  </si>
  <si>
    <t xml:space="preserve">Score </t>
  </si>
  <si>
    <t>Totaal Score</t>
  </si>
  <si>
    <t xml:space="preserve">Rekentool Natuur en landschap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</si>
</sst>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0.0"/>
    <numFmt numFmtId="165" formatCode="0.000000"/>
    <numFmt numFmtId="166" formatCode="0.0000"/>
    <numFmt numFmtId="167" formatCode="_([$€-2]\ * #,##0.00_);_([$€-2]\ * \(#,##0.00\);_([$€-2]\ 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87AE"/>
      <name val="Verdana"/>
      <family val="2"/>
    </font>
    <font>
      <b/>
      <sz val="26"/>
      <color rgb="FF0087AE"/>
      <name val="Verdana"/>
      <family val="2"/>
    </font>
    <font>
      <sz val="11"/>
      <color rgb="FF0087AE"/>
      <name val="Verdana"/>
      <family val="2"/>
    </font>
    <font>
      <b/>
      <sz val="12"/>
      <color rgb="FF0087AE"/>
      <name val="Verdana"/>
      <family val="2"/>
    </font>
    <font>
      <b/>
      <sz val="11"/>
      <color rgb="FF0087AE"/>
      <name val="Verdana"/>
      <family val="2"/>
    </font>
    <font>
      <sz val="12"/>
      <color rgb="FF0087AE"/>
      <name val="Verdana"/>
      <family val="2"/>
    </font>
    <font>
      <b/>
      <sz val="16"/>
      <color rgb="FF0087AE"/>
      <name val="Verdana"/>
      <family val="2"/>
    </font>
    <font>
      <sz val="14"/>
      <color rgb="FF0087AE"/>
      <name val="Verdana"/>
      <family val="2"/>
    </font>
    <font>
      <vertAlign val="superscript"/>
      <sz val="12"/>
      <color rgb="FF0087AE"/>
      <name val="Verdana"/>
      <family val="2"/>
    </font>
    <font>
      <sz val="26"/>
      <color rgb="FFFF0000"/>
      <name val="Wingdings"/>
      <charset val="2"/>
    </font>
    <font>
      <sz val="26"/>
      <color rgb="FF00B050"/>
      <name val="Wingdings"/>
      <charset val="2"/>
    </font>
    <font>
      <sz val="36"/>
      <color rgb="FF0087AE"/>
      <name val="Wingdings"/>
      <charset val="2"/>
    </font>
    <font>
      <sz val="9"/>
      <color rgb="FF0087AE"/>
      <name val="Verdana"/>
      <family val="2"/>
    </font>
    <font>
      <b/>
      <sz val="16"/>
      <color rgb="FF92D050"/>
      <name val="Verdana"/>
      <family val="2"/>
    </font>
    <font>
      <b/>
      <sz val="16"/>
      <color rgb="FF00B050"/>
      <name val="Verdana"/>
      <family val="2"/>
    </font>
    <font>
      <sz val="16"/>
      <color theme="1"/>
      <name val="Calibri"/>
      <family val="2"/>
      <scheme val="minor"/>
    </font>
    <font>
      <sz val="11"/>
      <color rgb="FF0087AE"/>
      <name val="Calibri"/>
      <family val="2"/>
      <scheme val="minor"/>
    </font>
    <font>
      <sz val="11"/>
      <color rgb="FF0087AE"/>
      <name val="Verdana"/>
      <family val="2"/>
    </font>
    <font>
      <b/>
      <sz val="10"/>
      <color rgb="FFFF0000"/>
      <name val="Verdana"/>
      <family val="2"/>
    </font>
    <font>
      <b/>
      <sz val="18"/>
      <color rgb="FF0087AE"/>
      <name val="Verdana"/>
      <family val="2"/>
    </font>
    <font>
      <b/>
      <u/>
      <sz val="11"/>
      <color rgb="FF0087AE"/>
      <name val="Verdana"/>
      <family val="2"/>
    </font>
    <font>
      <sz val="12"/>
      <color rgb="FFFF0000"/>
      <name val="Verdana"/>
      <family val="2"/>
    </font>
    <font>
      <b/>
      <sz val="12"/>
      <color theme="0" tint="-0.499984740745262"/>
      <name val="Verdana"/>
      <family val="2"/>
    </font>
    <font>
      <sz val="12"/>
      <color theme="0" tint="-0.499984740745262"/>
      <name val="Verdana"/>
      <family val="2"/>
    </font>
    <font>
      <b/>
      <sz val="9"/>
      <color theme="0" tint="-0.499984740745262"/>
      <name val="Verdana"/>
      <family val="2"/>
    </font>
    <font>
      <sz val="11"/>
      <color theme="0" tint="-0.49998474074526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rgb="FF0087AE"/>
      </left>
      <right/>
      <top style="thin">
        <color rgb="FF0087AE"/>
      </top>
      <bottom style="thin">
        <color rgb="FF0087AE"/>
      </bottom>
      <diagonal/>
    </border>
    <border>
      <left/>
      <right/>
      <top style="thin">
        <color rgb="FF0087AE"/>
      </top>
      <bottom style="thin">
        <color rgb="FF0087AE"/>
      </bottom>
      <diagonal/>
    </border>
    <border>
      <left style="thin">
        <color rgb="FF0087AE"/>
      </left>
      <right style="thin">
        <color rgb="FF0087AE"/>
      </right>
      <top style="thin">
        <color rgb="FF0087AE"/>
      </top>
      <bottom style="thin">
        <color rgb="FF0087AE"/>
      </bottom>
      <diagonal/>
    </border>
    <border>
      <left/>
      <right style="thin">
        <color rgb="FF0087AE"/>
      </right>
      <top style="thin">
        <color rgb="FF0087AE"/>
      </top>
      <bottom style="thin">
        <color rgb="FF0087AE"/>
      </bottom>
      <diagonal/>
    </border>
    <border>
      <left/>
      <right/>
      <top/>
      <bottom style="thin">
        <color rgb="FF0087AE"/>
      </bottom>
      <diagonal/>
    </border>
    <border>
      <left/>
      <right/>
      <top style="thin">
        <color rgb="FF0087AE"/>
      </top>
      <bottom/>
      <diagonal/>
    </border>
    <border>
      <left style="medium">
        <color rgb="FF0087AE"/>
      </left>
      <right style="medium">
        <color rgb="FF0087AE"/>
      </right>
      <top style="medium">
        <color rgb="FF0087AE"/>
      </top>
      <bottom style="medium">
        <color rgb="FF0087AE"/>
      </bottom>
      <diagonal/>
    </border>
    <border>
      <left style="medium">
        <color rgb="FF0087AE"/>
      </left>
      <right style="thin">
        <color indexed="64"/>
      </right>
      <top style="medium">
        <color rgb="FF0087AE"/>
      </top>
      <bottom style="medium">
        <color rgb="FF0087AE"/>
      </bottom>
      <diagonal/>
    </border>
    <border>
      <left style="thin">
        <color indexed="64"/>
      </left>
      <right style="thin">
        <color indexed="64"/>
      </right>
      <top style="medium">
        <color rgb="FF0087AE"/>
      </top>
      <bottom style="medium">
        <color rgb="FF0087AE"/>
      </bottom>
      <diagonal/>
    </border>
    <border>
      <left style="thin">
        <color indexed="64"/>
      </left>
      <right style="medium">
        <color rgb="FF0087AE"/>
      </right>
      <top style="medium">
        <color rgb="FF0087AE"/>
      </top>
      <bottom style="medium">
        <color rgb="FF0087AE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87AE"/>
      </left>
      <right style="thin">
        <color rgb="FF0087AE"/>
      </right>
      <top/>
      <bottom style="thin">
        <color rgb="FF0087AE"/>
      </bottom>
      <diagonal/>
    </border>
    <border>
      <left style="medium">
        <color rgb="FF0087AE"/>
      </left>
      <right style="thin">
        <color rgb="FF0087AE"/>
      </right>
      <top style="thin">
        <color rgb="FF0087AE"/>
      </top>
      <bottom style="thin">
        <color rgb="FF0087AE"/>
      </bottom>
      <diagonal/>
    </border>
    <border>
      <left style="thin">
        <color rgb="FF0087AE"/>
      </left>
      <right style="medium">
        <color rgb="FF0087AE"/>
      </right>
      <top style="thin">
        <color rgb="FF0087AE"/>
      </top>
      <bottom style="thin">
        <color rgb="FF0087AE"/>
      </bottom>
      <diagonal/>
    </border>
    <border>
      <left style="medium">
        <color rgb="FF0087AE"/>
      </left>
      <right style="thin">
        <color rgb="FF0087AE"/>
      </right>
      <top style="thin">
        <color rgb="FF0087AE"/>
      </top>
      <bottom style="medium">
        <color rgb="FF0087AE"/>
      </bottom>
      <diagonal/>
    </border>
    <border>
      <left style="thin">
        <color rgb="FF0087AE"/>
      </left>
      <right style="thin">
        <color rgb="FF0087AE"/>
      </right>
      <top style="thin">
        <color rgb="FF0087AE"/>
      </top>
      <bottom style="medium">
        <color rgb="FF0087AE"/>
      </bottom>
      <diagonal/>
    </border>
    <border>
      <left style="thin">
        <color rgb="FF0087AE"/>
      </left>
      <right style="medium">
        <color rgb="FF0087AE"/>
      </right>
      <top style="thin">
        <color rgb="FF0087AE"/>
      </top>
      <bottom style="medium">
        <color rgb="FF0087AE"/>
      </bottom>
      <diagonal/>
    </border>
    <border>
      <left style="thin">
        <color rgb="FF0087AE"/>
      </left>
      <right/>
      <top/>
      <bottom/>
      <diagonal/>
    </border>
    <border>
      <left/>
      <right style="thin">
        <color rgb="FF0087AE"/>
      </right>
      <top/>
      <bottom/>
      <diagonal/>
    </border>
    <border>
      <left style="thin">
        <color rgb="FF0087AE"/>
      </left>
      <right style="thin">
        <color rgb="FF0087AE"/>
      </right>
      <top style="medium">
        <color rgb="FF0087AE"/>
      </top>
      <bottom style="thin">
        <color rgb="FF0087AE"/>
      </bottom>
      <diagonal/>
    </border>
    <border>
      <left/>
      <right/>
      <top/>
      <bottom style="medium">
        <color rgb="FF0087AE"/>
      </bottom>
      <diagonal/>
    </border>
    <border>
      <left style="thin">
        <color rgb="FF0087AE"/>
      </left>
      <right/>
      <top/>
      <bottom style="thin">
        <color rgb="FF0087AE"/>
      </bottom>
      <diagonal/>
    </border>
    <border>
      <left/>
      <right style="thin">
        <color rgb="FF0087AE"/>
      </right>
      <top/>
      <bottom style="thin">
        <color rgb="FF0087AE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87AE"/>
      </right>
      <top style="thin">
        <color rgb="FF0087AE"/>
      </top>
      <bottom/>
      <diagonal/>
    </border>
    <border>
      <left style="thin">
        <color rgb="FF0087AE"/>
      </left>
      <right style="medium">
        <color rgb="FF0087AE"/>
      </right>
      <top/>
      <bottom style="thin">
        <color rgb="FF0087AE"/>
      </bottom>
      <diagonal/>
    </border>
    <border>
      <left style="medium">
        <color rgb="FF0087AE"/>
      </left>
      <right style="thin">
        <color rgb="FF0087AE"/>
      </right>
      <top/>
      <bottom style="thin">
        <color rgb="FF0087AE"/>
      </bottom>
      <diagonal/>
    </border>
    <border>
      <left style="medium">
        <color rgb="FF0087AE"/>
      </left>
      <right/>
      <top/>
      <bottom style="medium">
        <color rgb="FF0087AE"/>
      </bottom>
      <diagonal/>
    </border>
    <border>
      <left style="medium">
        <color rgb="FF0087AE"/>
      </left>
      <right style="medium">
        <color rgb="FF0087AE"/>
      </right>
      <top/>
      <bottom style="medium">
        <color rgb="FF0087AE"/>
      </bottom>
      <diagonal/>
    </border>
    <border>
      <left style="thin">
        <color rgb="FF0087AE"/>
      </left>
      <right/>
      <top/>
      <bottom style="medium">
        <color rgb="FF0087AE"/>
      </bottom>
      <diagonal/>
    </border>
    <border>
      <left style="thin">
        <color rgb="FF0087AE"/>
      </left>
      <right style="medium">
        <color rgb="FF0087AE"/>
      </right>
      <top/>
      <bottom style="medium">
        <color rgb="FF0087AE"/>
      </bottom>
      <diagonal/>
    </border>
    <border>
      <left style="medium">
        <color rgb="FF0087AE"/>
      </left>
      <right/>
      <top style="medium">
        <color rgb="FF0087AE"/>
      </top>
      <bottom style="thin">
        <color rgb="FF0087AE"/>
      </bottom>
      <diagonal/>
    </border>
    <border>
      <left/>
      <right/>
      <top style="medium">
        <color rgb="FF0087AE"/>
      </top>
      <bottom style="thin">
        <color rgb="FF0087AE"/>
      </bottom>
      <diagonal/>
    </border>
    <border>
      <left/>
      <right style="medium">
        <color rgb="FF0087AE"/>
      </right>
      <top style="medium">
        <color rgb="FF0087AE"/>
      </top>
      <bottom style="thin">
        <color rgb="FF0087AE"/>
      </bottom>
      <diagonal/>
    </border>
    <border>
      <left style="medium">
        <color rgb="FF0087AE"/>
      </left>
      <right/>
      <top style="thin">
        <color rgb="FF0087AE"/>
      </top>
      <bottom style="medium">
        <color rgb="FF0087AE"/>
      </bottom>
      <diagonal/>
    </border>
    <border>
      <left/>
      <right/>
      <top style="thin">
        <color rgb="FF0087AE"/>
      </top>
      <bottom style="medium">
        <color rgb="FF0087AE"/>
      </bottom>
      <diagonal/>
    </border>
    <border>
      <left/>
      <right style="medium">
        <color rgb="FF0087AE"/>
      </right>
      <top style="thin">
        <color rgb="FF0087AE"/>
      </top>
      <bottom style="medium">
        <color rgb="FF0087AE"/>
      </bottom>
      <diagonal/>
    </border>
    <border>
      <left/>
      <right style="medium">
        <color rgb="FF0087AE"/>
      </right>
      <top/>
      <bottom style="medium">
        <color rgb="FF0087AE"/>
      </bottom>
      <diagonal/>
    </border>
    <border>
      <left style="medium">
        <color rgb="FF0087AE"/>
      </left>
      <right style="medium">
        <color rgb="FF0087AE"/>
      </right>
      <top style="medium">
        <color rgb="FF0087AE"/>
      </top>
      <bottom/>
      <diagonal/>
    </border>
    <border>
      <left style="medium">
        <color rgb="FF0087AE"/>
      </left>
      <right style="medium">
        <color rgb="FF0087AE"/>
      </right>
      <top/>
      <bottom style="thin">
        <color rgb="FF0087AE"/>
      </bottom>
      <diagonal/>
    </border>
  </borders>
  <cellStyleXfs count="4">
    <xf numFmtId="0" fontId="0" fillId="0" borderId="0"/>
    <xf numFmtId="0" fontId="3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3">
    <xf numFmtId="0" fontId="0" fillId="0" borderId="0" xfId="0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166" fontId="4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3" borderId="2" xfId="0" applyFont="1" applyFill="1" applyBorder="1"/>
    <xf numFmtId="0" fontId="9" fillId="5" borderId="0" xfId="0" applyFont="1" applyFill="1"/>
    <xf numFmtId="0" fontId="9" fillId="0" borderId="0" xfId="0" applyFont="1"/>
    <xf numFmtId="0" fontId="9" fillId="0" borderId="0" xfId="0" applyFont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49" fontId="12" fillId="0" borderId="5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  <xf numFmtId="49" fontId="12" fillId="0" borderId="5" xfId="0" applyNumberFormat="1" applyFont="1" applyBorder="1" applyAlignment="1">
      <alignment vertical="top" wrapText="1"/>
    </xf>
    <xf numFmtId="49" fontId="12" fillId="0" borderId="5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44" fontId="9" fillId="0" borderId="0" xfId="2" applyFont="1" applyFill="1" applyAlignment="1" applyProtection="1">
      <alignment wrapText="1"/>
    </xf>
    <xf numFmtId="167" fontId="9" fillId="0" borderId="0" xfId="0" applyNumberFormat="1" applyFont="1"/>
    <xf numFmtId="0" fontId="9" fillId="0" borderId="0" xfId="0" applyFont="1" applyAlignment="1">
      <alignment wrapText="1"/>
    </xf>
    <xf numFmtId="0" fontId="14" fillId="0" borderId="0" xfId="0" applyFont="1"/>
    <xf numFmtId="0" fontId="12" fillId="0" borderId="5" xfId="0" applyFont="1" applyBorder="1" applyAlignment="1">
      <alignment wrapText="1"/>
    </xf>
    <xf numFmtId="167" fontId="12" fillId="0" borderId="5" xfId="0" applyNumberFormat="1" applyFont="1" applyBorder="1"/>
    <xf numFmtId="2" fontId="12" fillId="0" borderId="5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vertical="center" wrapText="1"/>
    </xf>
    <xf numFmtId="2" fontId="12" fillId="5" borderId="0" xfId="0" applyNumberFormat="1" applyFont="1" applyFill="1"/>
    <xf numFmtId="2" fontId="9" fillId="5" borderId="0" xfId="0" applyNumberFormat="1" applyFont="1" applyFill="1"/>
    <xf numFmtId="167" fontId="11" fillId="7" borderId="5" xfId="0" applyNumberFormat="1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vertical="center" wrapText="1"/>
    </xf>
    <xf numFmtId="0" fontId="13" fillId="7" borderId="0" xfId="0" applyFont="1" applyFill="1" applyAlignment="1">
      <alignment vertical="center" wrapText="1"/>
    </xf>
    <xf numFmtId="49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9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167" fontId="12" fillId="0" borderId="5" xfId="0" applyNumberFormat="1" applyFont="1" applyBorder="1" applyAlignment="1">
      <alignment vertical="top"/>
    </xf>
    <xf numFmtId="2" fontId="12" fillId="0" borderId="5" xfId="0" applyNumberFormat="1" applyFont="1" applyBorder="1" applyAlignment="1">
      <alignment horizontal="center" vertical="top"/>
    </xf>
    <xf numFmtId="0" fontId="12" fillId="8" borderId="5" xfId="0" applyFont="1" applyFill="1" applyBorder="1" applyAlignment="1">
      <alignment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9" borderId="5" xfId="0" applyFont="1" applyFill="1" applyBorder="1" applyAlignment="1">
      <alignment vertical="top" wrapText="1"/>
    </xf>
    <xf numFmtId="0" fontId="9" fillId="0" borderId="8" xfId="0" applyFont="1" applyBorder="1" applyAlignment="1">
      <alignment wrapText="1"/>
    </xf>
    <xf numFmtId="2" fontId="12" fillId="0" borderId="5" xfId="0" applyNumberFormat="1" applyFont="1" applyBorder="1" applyAlignment="1">
      <alignment horizontal="center" vertical="center"/>
    </xf>
    <xf numFmtId="0" fontId="12" fillId="8" borderId="5" xfId="0" applyFont="1" applyFill="1" applyBorder="1" applyAlignment="1">
      <alignment vertical="top" wrapText="1"/>
    </xf>
    <xf numFmtId="0" fontId="11" fillId="7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9" fillId="0" borderId="0" xfId="0" applyFont="1" applyAlignment="1">
      <alignment horizontal="left" vertical="top" wrapText="1"/>
    </xf>
    <xf numFmtId="0" fontId="9" fillId="4" borderId="13" xfId="0" applyFont="1" applyFill="1" applyBorder="1"/>
    <xf numFmtId="0" fontId="9" fillId="0" borderId="14" xfId="0" applyFont="1" applyFill="1" applyBorder="1"/>
    <xf numFmtId="0" fontId="9" fillId="0" borderId="15" xfId="0" applyFont="1" applyFill="1" applyBorder="1"/>
    <xf numFmtId="0" fontId="9" fillId="4" borderId="14" xfId="0" applyFont="1" applyFill="1" applyBorder="1"/>
    <xf numFmtId="0" fontId="24" fillId="0" borderId="16" xfId="0" applyFont="1" applyBorder="1"/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wrapText="1"/>
    </xf>
    <xf numFmtId="49" fontId="12" fillId="0" borderId="6" xfId="0" applyNumberFormat="1" applyFont="1" applyBorder="1" applyAlignment="1">
      <alignment horizontal="center" vertical="top" wrapText="1"/>
    </xf>
    <xf numFmtId="0" fontId="12" fillId="6" borderId="9" xfId="0" applyFont="1" applyFill="1" applyBorder="1" applyAlignment="1" applyProtection="1">
      <alignment horizontal="left" vertical="top"/>
      <protection locked="0"/>
    </xf>
    <xf numFmtId="0" fontId="12" fillId="6" borderId="9" xfId="0" applyFont="1" applyFill="1" applyBorder="1" applyAlignment="1" applyProtection="1">
      <alignment horizontal="left"/>
      <protection locked="0"/>
    </xf>
    <xf numFmtId="0" fontId="12" fillId="0" borderId="6" xfId="0" applyFont="1" applyBorder="1" applyAlignment="1">
      <alignment horizontal="center" vertical="top"/>
    </xf>
    <xf numFmtId="0" fontId="12" fillId="4" borderId="3" xfId="0" applyFont="1" applyFill="1" applyBorder="1" applyAlignment="1">
      <alignment wrapText="1"/>
    </xf>
    <xf numFmtId="0" fontId="12" fillId="0" borderId="6" xfId="0" applyFont="1" applyBorder="1" applyAlignment="1">
      <alignment horizontal="center" vertical="top" wrapText="1"/>
    </xf>
    <xf numFmtId="0" fontId="12" fillId="6" borderId="9" xfId="0" applyFont="1" applyFill="1" applyBorder="1" applyAlignment="1" applyProtection="1">
      <alignment horizontal="left" vertical="center"/>
      <protection locked="0"/>
    </xf>
    <xf numFmtId="49" fontId="10" fillId="7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left" vertical="top" wrapText="1"/>
    </xf>
    <xf numFmtId="49" fontId="12" fillId="0" borderId="6" xfId="0" applyNumberFormat="1" applyFont="1" applyFill="1" applyBorder="1" applyAlignment="1">
      <alignment horizontal="center" vertical="top" wrapText="1"/>
    </xf>
    <xf numFmtId="0" fontId="11" fillId="0" borderId="18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9" fillId="0" borderId="0" xfId="0" applyFont="1" applyBorder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10" fontId="11" fillId="9" borderId="19" xfId="3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0" fontId="11" fillId="0" borderId="0" xfId="3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1" fillId="8" borderId="20" xfId="0" applyFont="1" applyFill="1" applyBorder="1" applyAlignment="1">
      <alignment vertical="center" wrapText="1"/>
    </xf>
    <xf numFmtId="10" fontId="11" fillId="9" borderId="22" xfId="3" applyNumberFormat="1" applyFont="1" applyFill="1" applyBorder="1" applyAlignment="1" applyProtection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2" fontId="11" fillId="0" borderId="0" xfId="3" applyNumberFormat="1" applyFont="1" applyFill="1" applyBorder="1" applyAlignment="1" applyProtection="1">
      <alignment vertical="center" wrapText="1"/>
    </xf>
    <xf numFmtId="2" fontId="9" fillId="0" borderId="0" xfId="0" applyNumberFormat="1" applyFont="1" applyFill="1" applyBorder="1" applyAlignment="1" applyProtection="1">
      <protection locked="0"/>
    </xf>
    <xf numFmtId="2" fontId="9" fillId="6" borderId="9" xfId="0" applyNumberFormat="1" applyFont="1" applyFill="1" applyBorder="1" applyAlignment="1" applyProtection="1">
      <protection locked="0"/>
    </xf>
    <xf numFmtId="0" fontId="18" fillId="0" borderId="23" xfId="0" applyFont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2" fontId="11" fillId="0" borderId="25" xfId="3" applyNumberFormat="1" applyFont="1" applyFill="1" applyBorder="1" applyAlignment="1" applyProtection="1">
      <alignment vertical="center" wrapText="1"/>
    </xf>
    <xf numFmtId="10" fontId="11" fillId="0" borderId="0" xfId="3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24" xfId="0" applyFont="1" applyBorder="1"/>
    <xf numFmtId="0" fontId="11" fillId="7" borderId="17" xfId="0" applyFont="1" applyFill="1" applyBorder="1" applyAlignment="1">
      <alignment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/>
    <xf numFmtId="0" fontId="9" fillId="0" borderId="4" xfId="0" applyFont="1" applyBorder="1"/>
    <xf numFmtId="0" fontId="9" fillId="4" borderId="29" xfId="0" applyFont="1" applyFill="1" applyBorder="1"/>
    <xf numFmtId="0" fontId="9" fillId="4" borderId="30" xfId="0" applyFont="1" applyFill="1" applyBorder="1"/>
    <xf numFmtId="0" fontId="9" fillId="0" borderId="0" xfId="0" applyFont="1" applyFill="1" applyBorder="1"/>
    <xf numFmtId="0" fontId="24" fillId="0" borderId="2" xfId="0" applyFont="1" applyBorder="1"/>
    <xf numFmtId="0" fontId="24" fillId="0" borderId="0" xfId="0" applyFont="1" applyBorder="1"/>
    <xf numFmtId="0" fontId="9" fillId="4" borderId="0" xfId="0" applyFont="1" applyFill="1" applyBorder="1"/>
    <xf numFmtId="0" fontId="9" fillId="0" borderId="2" xfId="0" applyFont="1" applyFill="1" applyBorder="1"/>
    <xf numFmtId="0" fontId="9" fillId="0" borderId="0" xfId="0" applyFont="1" applyBorder="1" applyAlignment="1">
      <alignment horizontal="left" vertical="top" wrapText="1"/>
    </xf>
    <xf numFmtId="0" fontId="9" fillId="0" borderId="8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11" fillId="0" borderId="3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10" fontId="11" fillId="9" borderId="32" xfId="3" applyNumberFormat="1" applyFont="1" applyFill="1" applyBorder="1" applyAlignment="1" applyProtection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10" fontId="11" fillId="0" borderId="32" xfId="3" applyNumberFormat="1" applyFont="1" applyFill="1" applyBorder="1" applyAlignment="1" applyProtection="1">
      <alignment horizontal="center" vertical="center" wrapText="1"/>
    </xf>
    <xf numFmtId="0" fontId="26" fillId="7" borderId="9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6" fillId="7" borderId="34" xfId="0" applyFont="1" applyFill="1" applyBorder="1" applyAlignment="1">
      <alignment vertical="center" wrapText="1"/>
    </xf>
    <xf numFmtId="0" fontId="26" fillId="7" borderId="35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vertical="center" wrapText="1"/>
    </xf>
    <xf numFmtId="0" fontId="13" fillId="7" borderId="35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7" borderId="3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1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Fill="1" applyBorder="1" applyAlignment="1">
      <alignment vertical="center" wrapText="1"/>
    </xf>
    <xf numFmtId="10" fontId="11" fillId="0" borderId="26" xfId="3" applyNumberFormat="1" applyFont="1" applyFill="1" applyBorder="1" applyAlignment="1" applyProtection="1">
      <alignment horizontal="center" vertical="center" wrapText="1"/>
    </xf>
    <xf numFmtId="10" fontId="11" fillId="0" borderId="22" xfId="3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/>
    <xf numFmtId="0" fontId="12" fillId="10" borderId="9" xfId="0" applyFont="1" applyFill="1" applyBorder="1" applyAlignment="1" applyProtection="1">
      <alignment horizontal="left"/>
      <protection locked="0"/>
    </xf>
    <xf numFmtId="0" fontId="29" fillId="7" borderId="5" xfId="0" applyFont="1" applyFill="1" applyBorder="1" applyAlignment="1">
      <alignment horizontal="center" vertical="center" wrapText="1"/>
    </xf>
    <xf numFmtId="0" fontId="30" fillId="11" borderId="5" xfId="0" applyFont="1" applyFill="1" applyBorder="1" applyAlignment="1">
      <alignment horizontal="center" vertical="top"/>
    </xf>
    <xf numFmtId="0" fontId="30" fillId="11" borderId="5" xfId="0" applyFont="1" applyFill="1" applyBorder="1" applyAlignment="1">
      <alignment horizontal="center" vertical="top" wrapText="1"/>
    </xf>
    <xf numFmtId="0" fontId="30" fillId="11" borderId="5" xfId="0" applyFont="1" applyFill="1" applyBorder="1" applyAlignment="1">
      <alignment horizontal="center" vertical="center"/>
    </xf>
    <xf numFmtId="49" fontId="30" fillId="11" borderId="5" xfId="0" applyNumberFormat="1" applyFont="1" applyFill="1" applyBorder="1" applyAlignment="1">
      <alignment horizontal="center" vertical="top" wrapText="1"/>
    </xf>
    <xf numFmtId="49" fontId="30" fillId="11" borderId="5" xfId="0" applyNumberFormat="1" applyFont="1" applyFill="1" applyBorder="1" applyAlignment="1">
      <alignment vertical="top" wrapText="1"/>
    </xf>
    <xf numFmtId="0" fontId="30" fillId="11" borderId="5" xfId="0" applyFont="1" applyFill="1" applyBorder="1" applyAlignment="1">
      <alignment wrapText="1"/>
    </xf>
    <xf numFmtId="0" fontId="30" fillId="11" borderId="5" xfId="0" applyFont="1" applyFill="1" applyBorder="1" applyAlignment="1">
      <alignment horizontal="center"/>
    </xf>
    <xf numFmtId="167" fontId="30" fillId="11" borderId="5" xfId="0" applyNumberFormat="1" applyFont="1" applyFill="1" applyBorder="1"/>
    <xf numFmtId="2" fontId="30" fillId="11" borderId="5" xfId="0" applyNumberFormat="1" applyFont="1" applyFill="1" applyBorder="1" applyAlignment="1">
      <alignment horizontal="center" vertical="top"/>
    </xf>
    <xf numFmtId="0" fontId="30" fillId="11" borderId="3" xfId="0" applyFont="1" applyFill="1" applyBorder="1" applyAlignment="1">
      <alignment vertical="top" wrapText="1"/>
    </xf>
    <xf numFmtId="0" fontId="30" fillId="11" borderId="9" xfId="0" applyFont="1" applyFill="1" applyBorder="1" applyAlignment="1" applyProtection="1">
      <alignment horizontal="left"/>
      <protection locked="0"/>
    </xf>
    <xf numFmtId="49" fontId="30" fillId="11" borderId="6" xfId="0" applyNumberFormat="1" applyFont="1" applyFill="1" applyBorder="1" applyAlignment="1">
      <alignment horizontal="center" vertical="top" wrapText="1"/>
    </xf>
    <xf numFmtId="49" fontId="30" fillId="11" borderId="0" xfId="0" applyNumberFormat="1" applyFont="1" applyFill="1" applyAlignment="1">
      <alignment horizontal="center" vertical="top" wrapText="1"/>
    </xf>
    <xf numFmtId="2" fontId="30" fillId="11" borderId="0" xfId="0" applyNumberFormat="1" applyFont="1" applyFill="1"/>
    <xf numFmtId="0" fontId="30" fillId="11" borderId="0" xfId="0" applyFont="1" applyFill="1"/>
    <xf numFmtId="0" fontId="30" fillId="11" borderId="5" xfId="0" applyFont="1" applyFill="1" applyBorder="1" applyAlignment="1">
      <alignment horizontal="left" vertical="top" wrapText="1"/>
    </xf>
    <xf numFmtId="49" fontId="30" fillId="11" borderId="5" xfId="0" applyNumberFormat="1" applyFont="1" applyFill="1" applyBorder="1" applyAlignment="1">
      <alignment horizontal="left" vertical="top" wrapText="1"/>
    </xf>
    <xf numFmtId="0" fontId="30" fillId="11" borderId="5" xfId="0" applyFont="1" applyFill="1" applyBorder="1" applyAlignment="1" applyProtection="1">
      <alignment horizontal="left" vertical="top" wrapText="1"/>
      <protection locked="0"/>
    </xf>
    <xf numFmtId="0" fontId="32" fillId="11" borderId="5" xfId="0" applyFont="1" applyFill="1" applyBorder="1" applyAlignment="1">
      <alignment horizontal="left" vertical="top" wrapText="1"/>
    </xf>
    <xf numFmtId="0" fontId="30" fillId="11" borderId="5" xfId="0" applyFont="1" applyFill="1" applyBorder="1" applyAlignment="1">
      <alignment vertical="top" wrapText="1"/>
    </xf>
    <xf numFmtId="10" fontId="11" fillId="0" borderId="37" xfId="3" applyNumberFormat="1" applyFont="1" applyFill="1" applyBorder="1" applyAlignment="1" applyProtection="1">
      <alignment horizontal="center" vertical="center" wrapText="1"/>
    </xf>
    <xf numFmtId="0" fontId="13" fillId="7" borderId="0" xfId="0" applyFont="1" applyFill="1" applyBorder="1" applyAlignment="1">
      <alignment vertical="center" wrapText="1"/>
    </xf>
    <xf numFmtId="164" fontId="11" fillId="0" borderId="46" xfId="3" applyNumberFormat="1" applyFont="1" applyFill="1" applyBorder="1" applyAlignment="1" applyProtection="1">
      <alignment horizontal="center" vertical="center" wrapText="1"/>
    </xf>
    <xf numFmtId="164" fontId="11" fillId="0" borderId="35" xfId="3" applyNumberFormat="1" applyFont="1" applyFill="1" applyBorder="1" applyAlignment="1" applyProtection="1">
      <alignment horizontal="center" vertical="center" wrapText="1"/>
    </xf>
    <xf numFmtId="0" fontId="12" fillId="9" borderId="5" xfId="0" applyFont="1" applyFill="1" applyBorder="1" applyAlignment="1">
      <alignment horizontal="left" vertical="top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left" vertical="top" wrapText="1"/>
    </xf>
    <xf numFmtId="0" fontId="12" fillId="9" borderId="5" xfId="0" applyFont="1" applyFill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9" fillId="6" borderId="10" xfId="0" applyFont="1" applyFill="1" applyBorder="1" applyAlignment="1" applyProtection="1">
      <alignment horizontal="left"/>
      <protection locked="0"/>
    </xf>
    <xf numFmtId="0" fontId="19" fillId="6" borderId="11" xfId="0" applyFont="1" applyFill="1" applyBorder="1" applyAlignment="1" applyProtection="1">
      <alignment horizontal="left"/>
      <protection locked="0"/>
    </xf>
    <xf numFmtId="0" fontId="19" fillId="6" borderId="12" xfId="0" applyFont="1" applyFill="1" applyBorder="1" applyAlignment="1" applyProtection="1">
      <alignment horizontal="left"/>
      <protection locked="0"/>
    </xf>
    <xf numFmtId="0" fontId="13" fillId="7" borderId="3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27" xfId="0" applyFont="1" applyFill="1" applyBorder="1" applyAlignment="1">
      <alignment horizontal="left" vertical="center" wrapText="1"/>
    </xf>
    <xf numFmtId="0" fontId="13" fillId="7" borderId="7" xfId="0" applyFont="1" applyFill="1" applyBorder="1" applyAlignment="1">
      <alignment horizontal="left" vertical="center" wrapText="1"/>
    </xf>
    <xf numFmtId="0" fontId="13" fillId="7" borderId="2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3" fillId="7" borderId="34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26" fillId="7" borderId="38" xfId="0" applyFont="1" applyFill="1" applyBorder="1" applyAlignment="1">
      <alignment horizontal="center" vertical="center" wrapText="1"/>
    </xf>
    <xf numFmtId="0" fontId="26" fillId="7" borderId="39" xfId="0" applyFont="1" applyFill="1" applyBorder="1" applyAlignment="1">
      <alignment horizontal="center" vertical="center" wrapText="1"/>
    </xf>
    <xf numFmtId="0" fontId="26" fillId="7" borderId="40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49" fontId="10" fillId="7" borderId="5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wrapText="1"/>
    </xf>
    <xf numFmtId="164" fontId="11" fillId="0" borderId="45" xfId="3" applyNumberFormat="1" applyFont="1" applyFill="1" applyBorder="1" applyAlignment="1" applyProtection="1">
      <alignment horizontal="center" vertical="center" wrapText="1"/>
    </xf>
    <xf numFmtId="164" fontId="11" fillId="0" borderId="35" xfId="3" applyNumberFormat="1" applyFont="1" applyFill="1" applyBorder="1" applyAlignment="1" applyProtection="1">
      <alignment horizontal="center" vertical="center" wrapText="1"/>
    </xf>
  </cellXfs>
  <cellStyles count="4">
    <cellStyle name="Normal 2" xfId="1" xr:uid="{8C65C80A-5EE6-4042-B3BB-92CE1CBAAE30}"/>
    <cellStyle name="Procent" xfId="3" builtinId="5"/>
    <cellStyle name="Standaard" xfId="0" builtinId="0"/>
    <cellStyle name="Valuta" xfId="2" builtinId="4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0087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lijn Henskens" refreshedDate="43794.760032060185" createdVersion="6" refreshedVersion="6" minRefreshableVersion="3" recordCount="84" xr:uid="{6D61F108-1C35-4885-AA7B-67CA997B3EA7}">
  <cacheSource type="worksheet">
    <worksheetSource ref="A1:H85" sheet="FrieslandCampina"/>
  </cacheSource>
  <cacheFields count="8">
    <cacheField name="Bedrijf" numFmtId="0">
      <sharedItems containsSemiMixedTypes="0" containsString="0" containsNumber="1" containsInteger="1" minValue="1" maxValue="11" count="11">
        <n v="1"/>
        <n v="2"/>
        <n v="3"/>
        <n v="4"/>
        <n v="5"/>
        <n v="6"/>
        <n v="7"/>
        <n v="8"/>
        <n v="9"/>
        <n v="10"/>
        <n v="11"/>
      </sharedItems>
    </cacheField>
    <cacheField name="pcode" numFmtId="0">
      <sharedItems/>
    </cacheField>
    <cacheField name="Pakketnaam" numFmtId="0">
      <sharedItems/>
    </cacheField>
    <cacheField name="totaaloppervlaktepakket" numFmtId="0">
      <sharedItems containsSemiMixedTypes="0" containsString="0" containsNumber="1" minValue="1E-4" maxValue="36.227440000000001"/>
    </cacheField>
    <cacheField name="Schouw" numFmtId="0">
      <sharedItems containsSemiMixedTypes="0" containsString="0" containsNumber="1" containsInteger="1" minValue="0" maxValue="1"/>
    </cacheField>
    <cacheField name="bedrijfsoppervlakte" numFmtId="0">
      <sharedItems containsSemiMixedTypes="0" containsString="0" containsNumber="1" minValue="54.4465" maxValue="119.33669999999999"/>
    </cacheField>
    <cacheField name="Weging" numFmtId="0">
      <sharedItems containsString="0" containsBlank="1" containsNumber="1" minValue="2.0000000000000001E-4" maxValue="4.582875133942137"/>
    </cacheField>
    <cacheField name="Weging alt 1" numFmtId="0">
      <sharedItems containsString="0" containsBlank="1" containsNumber="1" minValue="2.0000000000000001E-4" maxValue="28.6374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lijn Henskens" refreshedDate="43794.760032175924" createdVersion="6" refreshedVersion="6" minRefreshableVersion="3" recordCount="84" xr:uid="{F0EF38D9-7AEE-4A0E-BEFC-A40542B3DCEE}">
  <cacheSource type="worksheet">
    <worksheetSource ref="A1:I85" sheet="FrieslandCampina"/>
  </cacheSource>
  <cacheFields count="9">
    <cacheField name="Bedrijf" numFmtId="0">
      <sharedItems containsSemiMixedTypes="0" containsString="0" containsNumber="1" containsInteger="1" minValue="1" maxValue="11" count="11">
        <n v="1"/>
        <n v="2"/>
        <n v="3"/>
        <n v="4"/>
        <n v="5"/>
        <n v="6"/>
        <n v="7"/>
        <n v="8"/>
        <n v="9"/>
        <n v="10"/>
        <n v="11"/>
      </sharedItems>
    </cacheField>
    <cacheField name="pcode" numFmtId="0">
      <sharedItems/>
    </cacheField>
    <cacheField name="Pakketnaam" numFmtId="0">
      <sharedItems/>
    </cacheField>
    <cacheField name="totaaloppervlaktepakket" numFmtId="0">
      <sharedItems containsSemiMixedTypes="0" containsString="0" containsNumber="1" minValue="1E-4" maxValue="36.227440000000001"/>
    </cacheField>
    <cacheField name="Schouw" numFmtId="0">
      <sharedItems containsSemiMixedTypes="0" containsString="0" containsNumber="1" containsInteger="1" minValue="0" maxValue="1"/>
    </cacheField>
    <cacheField name="bedrijfsoppervlakte" numFmtId="0">
      <sharedItems containsSemiMixedTypes="0" containsString="0" containsNumber="1" minValue="54.4465" maxValue="119.33669999999999"/>
    </cacheField>
    <cacheField name="Weging" numFmtId="0">
      <sharedItems containsString="0" containsBlank="1" containsNumber="1" minValue="2.0000000000000001E-4" maxValue="4.582875133942137"/>
    </cacheField>
    <cacheField name="Weging alt 1" numFmtId="0">
      <sharedItems containsString="0" containsBlank="1" containsNumber="1" minValue="2.0000000000000001E-4" maxValue="28.637499999999999"/>
    </cacheField>
    <cacheField name="Weging alt 2" numFmtId="0">
      <sharedItems containsString="0" containsBlank="1" containsNumber="1" minValue="2.0000000000000001E-4" maxValue="5.72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lijn Henskens" refreshedDate="43794.760032175924" createdVersion="6" refreshedVersion="6" minRefreshableVersion="3" recordCount="181" xr:uid="{D324F09F-79F3-45B6-B055-02DA1CEB21A5}">
  <cacheSource type="worksheet">
    <worksheetSource ref="B1:K182" sheet="Boerennatuur"/>
  </cacheSource>
  <cacheFields count="10">
    <cacheField name="Beheerpakket Code" numFmtId="0">
      <sharedItems/>
    </cacheField>
    <cacheField name="Pakketnaam" numFmtId="0">
      <sharedItems/>
    </cacheField>
    <cacheField name="Oppervlakte (ha)" numFmtId="0">
      <sharedItems containsSemiMixedTypes="0" containsString="0" containsNumber="1" minValue="1E-4" maxValue="11.2194"/>
    </cacheField>
    <cacheField name="Deelnemer naam" numFmtId="0">
      <sharedItems count="8">
        <s v="SHV 1 HK"/>
        <s v="THL 1 MH"/>
        <s v="CAM 1 HGW S"/>
        <s v="SHV 2 WC"/>
        <s v="CAM 2 MH VW"/>
        <s v="LEM 1 MPR"/>
        <s v="LEM 2 MFV"/>
        <s v="LEM 3 GS"/>
      </sharedItems>
    </cacheField>
    <cacheField name="Labels" numFmtId="0">
      <sharedItems containsBlank="1"/>
    </cacheField>
    <cacheField name="aard bedrijf" numFmtId="0">
      <sharedItems/>
    </cacheField>
    <cacheField name="grondsoort" numFmtId="0">
      <sharedItems/>
    </cacheField>
    <cacheField name="Weging " numFmtId="0">
      <sharedItems containsString="0" containsBlank="1" containsNumber="1" minValue="1.2494602331792667E-3" maxValue="4.8263138728786217"/>
    </cacheField>
    <cacheField name="Weging alt 1" numFmtId="0">
      <sharedItems containsString="0" containsBlank="1" containsNumber="1" minValue="2.5000000000000001E-3" maxValue="12.767500000000002"/>
    </cacheField>
    <cacheField name="Weging alt 2" numFmtId="0">
      <sharedItems containsString="0" containsBlank="1" containsNumber="1" minValue="2.5000000000000001E-3" maxValue="4.98750000000000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s v="BBM101"/>
    <s v="grasland met rustperiode"/>
    <n v="8.7509789999999992"/>
    <n v="0"/>
    <n v="54.4465"/>
    <n v="3.4002116654405294"/>
    <n v="3.4002116654405294"/>
  </r>
  <r>
    <x v="0"/>
    <s v="BBM104"/>
    <s v="legselbeheer"/>
    <n v="36.227440000000001"/>
    <n v="0"/>
    <n v="54.4465"/>
    <n v="1.223186203506752"/>
    <n v="1.223186203506752"/>
  </r>
  <r>
    <x v="0"/>
    <s v="KRGL"/>
    <s v="kruidenrijk grasland"/>
    <n v="1.189937"/>
    <n v="0"/>
    <n v="54.4465"/>
    <m/>
    <m/>
  </r>
  <r>
    <x v="0"/>
    <s v="BBM107"/>
    <s v="ruige mest"/>
    <n v="8.7511259999999993"/>
    <n v="0"/>
    <n v="54.4465"/>
    <n v="0.80895466406512384"/>
    <n v="0.80895466406512384"/>
  </r>
  <r>
    <x v="0"/>
    <s v="BBM108"/>
    <s v="hoog waterpeil"/>
    <n v="2.5640879999999999"/>
    <n v="0"/>
    <n v="54.4465"/>
    <n v="0.10770670481551969"/>
    <n v="0.10770670481551969"/>
  </r>
  <r>
    <x v="0"/>
    <s v="BBM220"/>
    <s v="Nestgelegenheid en beplanting erfvogels"/>
    <n v="2E-3"/>
    <n v="0"/>
    <n v="54.4465"/>
    <n v="2.0000000000000001E-4"/>
    <n v="2.0000000000000001E-4"/>
  </r>
  <r>
    <x v="1"/>
    <s v="KRGL"/>
    <s v="botanisch waardevol grasland"/>
    <n v="3.838212"/>
    <n v="1"/>
    <n v="83.029499999999999"/>
    <m/>
    <m/>
  </r>
  <r>
    <x v="1"/>
    <s v="BBM121"/>
    <s v="Beheer van bomenrijen"/>
    <n v="5.9999999999999995E-4"/>
    <n v="1"/>
    <n v="83.029499999999999"/>
    <n v="7.4967613990755992E-3"/>
    <n v="1.4999999999999999E-2"/>
  </r>
  <r>
    <x v="1"/>
    <s v="BBM122"/>
    <s v="Knip- en scheerheg"/>
    <n v="2.5999999999999999E-3"/>
    <n v="1"/>
    <n v="83.029499999999999"/>
    <n v="6.4971932125321855E-3"/>
    <n v="6.5000000000000002E-2"/>
  </r>
  <r>
    <x v="1"/>
    <s v="BBM126"/>
    <s v="Half- en hoogstamboomgaard"/>
    <n v="7.8399999999999997E-2"/>
    <n v="1"/>
    <n v="83.029499999999999"/>
    <n v="0.19600000000000001"/>
    <n v="1.96"/>
  </r>
  <r>
    <x v="1"/>
    <s v="BBM129"/>
    <s v="Bosje"/>
    <n v="0.15240000000000001"/>
    <n v="1"/>
    <n v="83.029499999999999"/>
    <n v="0.38083547907304049"/>
    <n v="3.81"/>
  </r>
  <r>
    <x v="1"/>
    <s v="BBM111"/>
    <s v="rietzoom en klein rietperceel"/>
    <n v="8.1233E-2"/>
    <n v="1"/>
    <n v="83.029499999999999"/>
    <n v="0.20299480624370272"/>
    <n v="2.0308250000000001"/>
  </r>
  <r>
    <x v="1"/>
    <s v="BBM146"/>
    <s v="Solitaire boom op landbouwgrond"/>
    <n v="2.9999999999999997E-4"/>
    <n v="1"/>
    <n v="83.029499999999999"/>
    <n v="3.7483806995377996E-3"/>
    <n v="7.4999999999999997E-3"/>
  </r>
  <r>
    <x v="1"/>
    <s v="BBM171"/>
    <s v="Bodemverbetering bouwland met ruige mest"/>
    <n v="7.3616999999999999"/>
    <n v="1"/>
    <n v="83.029499999999999"/>
    <n v="2.2358130567594796"/>
    <n v="2.2358130567594796"/>
  </r>
  <r>
    <x v="1"/>
    <s v="BBM220"/>
    <s v="Nestgelegenheid en beplanting erfvogels"/>
    <n v="3.0000000000000001E-3"/>
    <n v="1"/>
    <n v="83.029499999999999"/>
    <n v="3.0000000000000003E-4"/>
    <n v="3.0000000000000003E-4"/>
  </r>
  <r>
    <x v="2"/>
    <s v="BBM101"/>
    <s v="grasland met rustperiode"/>
    <n v="3.2951709999999999"/>
    <n v="0"/>
    <n v="79.901899999999998"/>
    <n v="1.2803457617509235"/>
    <n v="1.2803457617509235"/>
  </r>
  <r>
    <x v="2"/>
    <s v="KRGL"/>
    <s v="kruidenrijk grasland"/>
    <n v="1.014027"/>
    <n v="0"/>
    <n v="79.901899999999998"/>
    <m/>
    <m/>
  </r>
  <r>
    <x v="2"/>
    <s v="BBM107"/>
    <s v="ruige mest"/>
    <n v="3.2951380000000001"/>
    <n v="0"/>
    <n v="79.901899999999998"/>
    <n v="0.30460277384170042"/>
    <n v="0.30460277384170042"/>
  </r>
  <r>
    <x v="2"/>
    <s v="BBM106"/>
    <s v="Extensief beweid grasland"/>
    <n v="2.2629999999999999"/>
    <n v="0"/>
    <n v="79.901899999999998"/>
    <n v="0.7210061973227565"/>
    <n v="0.7210061973227565"/>
  </r>
  <r>
    <x v="2"/>
    <s v="BBM119"/>
    <s v="Kruidenrijke akkerrand"/>
    <n v="8.72E-2"/>
    <n v="0"/>
    <n v="79.901899999999998"/>
    <m/>
    <m/>
  </r>
  <r>
    <x v="2"/>
    <s v="BBM220"/>
    <s v="Nestgelegenheid en beplanting erfvogels"/>
    <n v="1.4200000000000001E-2"/>
    <n v="0"/>
    <n v="79.901899999999998"/>
    <n v="1.4200000000000003E-3"/>
    <n v="1.4200000000000003E-3"/>
  </r>
  <r>
    <x v="2"/>
    <s v="BBM120"/>
    <s v="Hakhoutbeheer"/>
    <n v="0.57310000000000005"/>
    <n v="0"/>
    <n v="79.901899999999998"/>
    <n v="1.4321313192700755"/>
    <n v="14.327500000000001"/>
  </r>
  <r>
    <x v="2"/>
    <s v="BBM121"/>
    <s v="Beheer van bomenrijen"/>
    <n v="2.3E-3"/>
    <n v="0"/>
    <n v="79.901899999999998"/>
    <n v="2.8737585363123132E-2"/>
    <n v="5.7499999999999996E-2"/>
  </r>
  <r>
    <x v="2"/>
    <s v="BBM146"/>
    <s v="Solitaire boom op landbouwgrond"/>
    <n v="6.9999999999999999E-4"/>
    <n v="0"/>
    <n v="79.901899999999998"/>
    <n v="8.7462216322548667E-3"/>
    <n v="1.7499999999999998E-2"/>
  </r>
  <r>
    <x v="3"/>
    <s v="BBM100"/>
    <s v="Structuurrijk grasland"/>
    <n v="3.1677"/>
    <n v="0"/>
    <n v="58.893099999999997"/>
    <m/>
    <m/>
  </r>
  <r>
    <x v="3"/>
    <s v="BBM118"/>
    <s v="Kruidenrijke akker"/>
    <n v="1.6480999999999999"/>
    <n v="0"/>
    <n v="58.893099999999997"/>
    <n v="2.6070381563164715"/>
    <n v="2.6070381563164715"/>
  </r>
  <r>
    <x v="3"/>
    <s v="BBM119"/>
    <s v="Kruidenrijke akkerrand"/>
    <n v="0.17280000000000001"/>
    <n v="0"/>
    <n v="58.893099999999997"/>
    <m/>
    <m/>
  </r>
  <r>
    <x v="3"/>
    <s v="BBM120"/>
    <s v="Hakhoutbeheer"/>
    <n v="0.1903"/>
    <n v="0"/>
    <n v="58.893099999999997"/>
    <n v="0.47554456474802886"/>
    <n v="4.7575000000000003"/>
  </r>
  <r>
    <x v="3"/>
    <s v="BBM129"/>
    <s v="Bosje"/>
    <n v="0.37359999999999999"/>
    <n v="0"/>
    <n v="58.893099999999997"/>
    <n v="0.9335966862315479"/>
    <n v="9.34"/>
  </r>
  <r>
    <x v="3"/>
    <s v="BBM146"/>
    <s v="Solitaire boom op landbouwgrond"/>
    <n v="1E-4"/>
    <n v="0"/>
    <n v="58.893099999999997"/>
    <n v="1.2494602331792667E-3"/>
    <n v="2.5000000000000001E-3"/>
  </r>
  <r>
    <x v="3"/>
    <s v="BBM220"/>
    <s v="Nestgelegenheid en beplanting erfvogels"/>
    <n v="2.7000000000000001E-3"/>
    <n v="0"/>
    <n v="58.893099999999997"/>
    <n v="2.7E-4"/>
    <n v="2.7E-4"/>
  </r>
  <r>
    <x v="4"/>
    <s v="BBM101"/>
    <s v="grasland met rustperiode"/>
    <n v="6.5934900000000001"/>
    <n v="0"/>
    <n v="65.807400000000001"/>
    <n v="2.5619146856557968"/>
    <n v="2.5619146856557968"/>
  </r>
  <r>
    <x v="4"/>
    <s v="BBM103"/>
    <s v="plas-dras"/>
    <n v="0.32290200000000002"/>
    <n v="0"/>
    <n v="65.807400000000001"/>
    <n v="0.41541349788091547"/>
    <n v="0.41541349788091547"/>
  </r>
  <r>
    <x v="4"/>
    <s v="BBM104"/>
    <s v="legselbeheer"/>
    <n v="27.077839000000001"/>
    <n v="0"/>
    <n v="65.807400000000001"/>
    <n v="0.91425833803263667"/>
    <n v="0.91425833803263667"/>
  </r>
  <r>
    <x v="4"/>
    <s v="KRGL"/>
    <s v="kruidenrijk grasland"/>
    <n v="7.702763"/>
    <n v="0"/>
    <n v="65.807400000000001"/>
    <m/>
    <m/>
  </r>
  <r>
    <x v="4"/>
    <s v="BBM107"/>
    <s v="ruige mest"/>
    <n v="18.587437999999999"/>
    <n v="0"/>
    <n v="65.807400000000001"/>
    <n v="1.7182239934748189"/>
    <n v="1.7182239934748189"/>
  </r>
  <r>
    <x v="4"/>
    <s v="KRGL"/>
    <s v="botanisch waardevol grasland"/>
    <n v="3.3354119999999998"/>
    <n v="0"/>
    <n v="65.807400000000001"/>
    <m/>
    <m/>
  </r>
  <r>
    <x v="4"/>
    <s v="BBM119"/>
    <s v="kruidenrijke akkerranden"/>
    <n v="0.43581300000000001"/>
    <n v="0"/>
    <n v="65.807400000000001"/>
    <m/>
    <m/>
  </r>
  <r>
    <x v="4"/>
    <s v="BBM104"/>
    <s v="legselbeheer"/>
    <n v="23.463200000000001"/>
    <n v="0"/>
    <n v="65.807400000000001"/>
    <n v="0.79221337555509364"/>
    <n v="0.79221337555509364"/>
  </r>
  <r>
    <x v="4"/>
    <s v="BBM126"/>
    <s v="Half- en hoogstamboomgaard"/>
    <n v="3.3000000000000002E-2"/>
    <n v="0"/>
    <n v="65.807400000000001"/>
    <n v="8.2500000000000004E-2"/>
    <n v="0.82500000000000007"/>
  </r>
  <r>
    <x v="4"/>
    <s v="BBM220"/>
    <s v="Nestgelegenheid en beplanting erfvogels"/>
    <n v="1"/>
    <n v="0"/>
    <n v="65.807400000000001"/>
    <n v="0.1"/>
    <n v="0.1"/>
  </r>
  <r>
    <x v="4"/>
    <s v="BBM230"/>
    <s v="Leibomen bij historische boerderij"/>
    <n v="1"/>
    <n v="0"/>
    <n v="65.807400000000001"/>
    <n v="0.1"/>
    <n v="0.1"/>
  </r>
  <r>
    <x v="4"/>
    <s v="BBM132"/>
    <s v="duurzaam slootbeheer"/>
    <n v="1.1429100000000001"/>
    <n v="0"/>
    <n v="65.807400000000001"/>
    <n v="2.8560411902058314"/>
    <n v="28.572750000000003"/>
  </r>
  <r>
    <x v="4"/>
    <s v="BBM120"/>
    <s v="Hakhoutbeheer"/>
    <n v="4.9883999999999998E-2"/>
    <n v="0"/>
    <n v="65.807400000000001"/>
    <n v="0.12465614854382906"/>
    <n v="1.2470999999999999"/>
  </r>
  <r>
    <x v="4"/>
    <s v="BBM146"/>
    <s v="boom op landbouwgrond"/>
    <n v="6.1226000000000003E-2"/>
    <n v="0"/>
    <n v="65.807400000000001"/>
    <n v="0.7649945223663378"/>
    <n v="1.5306500000000001"/>
  </r>
  <r>
    <x v="5"/>
    <s v="BBM101"/>
    <s v="grasland met rustperiode"/>
    <n v="8.6448990000000006"/>
    <n v="0"/>
    <n v="57.034199999999998"/>
    <n v="3.3589940538487375"/>
    <n v="3.3589940538487375"/>
  </r>
  <r>
    <x v="5"/>
    <s v="BBM103"/>
    <s v="plas-dras"/>
    <n v="0.45857500000000001"/>
    <n v="0"/>
    <n v="57.034199999999998"/>
    <n v="0.5899568438434597"/>
    <n v="0.5899568438434597"/>
  </r>
  <r>
    <x v="5"/>
    <s v="BBM104"/>
    <s v="legselbeheer"/>
    <n v="33.426977999999998"/>
    <n v="0"/>
    <n v="57.034199999999998"/>
    <n v="1.1286311788667296"/>
    <n v="1.1286311788667296"/>
  </r>
  <r>
    <x v="5"/>
    <s v="KRGL"/>
    <s v="kruidenrijk grasland"/>
    <n v="4.4764099999999996"/>
    <n v="0"/>
    <n v="57.034199999999998"/>
    <m/>
    <m/>
  </r>
  <r>
    <x v="5"/>
    <s v="BBM107"/>
    <s v="ruige mest"/>
    <n v="7.1833289999999996"/>
    <n v="0"/>
    <n v="57.034199999999998"/>
    <n v="0.6640274060805732"/>
    <n v="0.6640274060805732"/>
  </r>
  <r>
    <x v="5"/>
    <s v="KRGL"/>
    <s v="botanisch waardevol grasland"/>
    <n v="1.300117"/>
    <n v="0"/>
    <n v="57.034199999999998"/>
    <m/>
    <m/>
  </r>
  <r>
    <x v="5"/>
    <s v="BBM101"/>
    <s v="grasland met rustperiode"/>
    <n v="1.7192000000000001"/>
    <n v="0"/>
    <n v="57.034199999999998"/>
    <n v="0.66799884849744906"/>
    <n v="0.66799884849744906"/>
  </r>
  <r>
    <x v="5"/>
    <s v="BBM120"/>
    <s v="Hakhoutbeheer"/>
    <n v="3.7900000000000003E-2"/>
    <n v="0"/>
    <n v="57.034199999999998"/>
    <n v="9.4709085674988411E-2"/>
    <n v="0.94750000000000012"/>
  </r>
  <r>
    <x v="5"/>
    <s v="BBM132"/>
    <s v="duurzaam slootbeheer"/>
    <n v="0.42265200000000003"/>
    <n v="0"/>
    <n v="57.034199999999998"/>
    <n v="1.0561737329473668"/>
    <n v="10.5663"/>
  </r>
  <r>
    <x v="5"/>
    <s v="BBM122"/>
    <s v="Knip- en scheerheg"/>
    <n v="7.0000000000000001E-3"/>
    <n v="0"/>
    <n v="57.034199999999998"/>
    <n v="1.7492443264509733E-2"/>
    <n v="0.17500000000000002"/>
  </r>
  <r>
    <x v="5"/>
    <s v="BBM126"/>
    <s v="Half- en hoogstamboomgaard"/>
    <n v="5.0299999999999997E-2"/>
    <n v="0"/>
    <n v="57.034199999999998"/>
    <n v="0.12575"/>
    <n v="1.2574999999999998"/>
  </r>
  <r>
    <x v="5"/>
    <s v="BBM220"/>
    <s v="Nestgelegenheid en beplanting erfvogels"/>
    <n v="1"/>
    <n v="0"/>
    <n v="57.034199999999998"/>
    <n v="0.1"/>
    <n v="0.1"/>
  </r>
  <r>
    <x v="6"/>
    <s v="KRGL"/>
    <s v="botanisch waardevol grasland"/>
    <n v="0.156693"/>
    <n v="1"/>
    <n v="82.344800000000006"/>
    <m/>
    <m/>
  </r>
  <r>
    <x v="6"/>
    <s v="BBM104"/>
    <s v="legselbeheer"/>
    <n v="9.7177000000000007"/>
    <n v="1"/>
    <n v="82.344800000000006"/>
    <n v="0.32810920588972237"/>
    <n v="0.32810920588972237"/>
  </r>
  <r>
    <x v="6"/>
    <s v="BBM107"/>
    <s v="Bodemverbetering grasland met ruige mest"/>
    <n v="5.6073000000000004"/>
    <n v="1"/>
    <n v="82.344800000000006"/>
    <n v="0.51833918147360347"/>
    <n v="0.51833918147360347"/>
  </r>
  <r>
    <x v="6"/>
    <s v="BBM110"/>
    <s v="Natuurvriendelijke oever"/>
    <n v="0.18990000000000001"/>
    <n v="1"/>
    <n v="82.344800000000006"/>
    <n v="0.47454499656148547"/>
    <n v="4.7475000000000005"/>
  </r>
  <r>
    <x v="6"/>
    <s v="KRGL"/>
    <s v="botanisch waardevol grasland"/>
    <n v="26.789200000000001"/>
    <n v="1"/>
    <n v="82.344800000000006"/>
    <m/>
    <m/>
  </r>
  <r>
    <x v="6"/>
    <s v="BBM220"/>
    <s v="Nestgelegenheid en beplanting erfvogels"/>
    <n v="1"/>
    <n v="1"/>
    <n v="82.344800000000006"/>
    <n v="0.1"/>
    <n v="0.1"/>
  </r>
  <r>
    <x v="6"/>
    <s v="BBM129"/>
    <s v="Bosje"/>
    <n v="4.3200000000000002E-2"/>
    <n v="1"/>
    <n v="82.344800000000006"/>
    <n v="0.10795336414668864"/>
    <n v="1.08"/>
  </r>
  <r>
    <x v="6"/>
    <s v="BBM132"/>
    <s v="duurzaam slootbeheer"/>
    <n v="4.0178999999999999E-2"/>
    <n v="1"/>
    <n v="82.344800000000006"/>
    <n v="0.1004041254178195"/>
    <n v="1.004475"/>
  </r>
  <r>
    <x v="7"/>
    <s v="BBM121"/>
    <s v="Beheer van bomenrijen"/>
    <n v="1.8E-3"/>
    <n v="0"/>
    <n v="73.352199999999996"/>
    <n v="2.24902841972268E-2"/>
    <n v="4.4999999999999998E-2"/>
  </r>
  <r>
    <x v="7"/>
    <s v="BBM146"/>
    <s v="Solitaire boom op landbouwgrond"/>
    <n v="1E-4"/>
    <n v="0"/>
    <n v="73.352199999999996"/>
    <n v="1.2494602331792667E-3"/>
    <n v="2.5000000000000001E-3"/>
  </r>
  <r>
    <x v="7"/>
    <s v="BBM220"/>
    <s v="Nestgelegenheid en beplanting erfvogels"/>
    <n v="1"/>
    <n v="0"/>
    <n v="73.352199999999996"/>
    <n v="0.1"/>
    <n v="0.1"/>
  </r>
  <r>
    <x v="8"/>
    <s v="BBM101"/>
    <s v="grasland met rustperiode"/>
    <n v="4.7586769999999996"/>
    <n v="1"/>
    <n v="119.33669999999999"/>
    <n v="1.8489941579637594"/>
    <n v="1.8489941579637594"/>
  </r>
  <r>
    <x v="8"/>
    <s v="BBM103"/>
    <s v="plas-dras"/>
    <n v="0.40550000000000003"/>
    <n v="1"/>
    <n v="119.33669999999999"/>
    <n v="0.52167584403537681"/>
    <n v="0.52167584403537681"/>
  </r>
  <r>
    <x v="8"/>
    <s v="KRGL"/>
    <s v="kruidenrijk grasland"/>
    <n v="5.1707999999999998"/>
    <n v="1"/>
    <n v="119.33669999999999"/>
    <m/>
    <m/>
  </r>
  <r>
    <x v="8"/>
    <s v="KRGL"/>
    <s v="kruidenrijk grasland"/>
    <n v="4.9817"/>
    <n v="1"/>
    <n v="119.33669999999999"/>
    <m/>
    <m/>
  </r>
  <r>
    <x v="8"/>
    <s v="BBM107"/>
    <s v="ruige mest"/>
    <n v="9.7403980000000008"/>
    <n v="1"/>
    <n v="119.33669999999999"/>
    <n v="0.90040303292977442"/>
    <n v="0.90040303292977442"/>
  </r>
  <r>
    <x v="8"/>
    <s v="BBM102"/>
    <s v="Kuikenvelden"/>
    <n v="8.8210999999999995"/>
    <n v="1"/>
    <n v="119.33669999999999"/>
    <n v="4.582875133942137"/>
    <n v="4.582875133942137"/>
  </r>
  <r>
    <x v="9"/>
    <s v="BBM101"/>
    <s v="grasland met rustperiode"/>
    <n v="8.4374359999999999"/>
    <n v="1"/>
    <n v="82.043000000000006"/>
    <n v="3.2783838600924398"/>
    <n v="3.2783838600924398"/>
  </r>
  <r>
    <x v="9"/>
    <s v="BBM104"/>
    <s v="legselbeheer"/>
    <n v="28.293969000000001"/>
    <n v="1"/>
    <n v="82.043000000000006"/>
    <n v="0.95531984935307956"/>
    <n v="0.95531984935307956"/>
  </r>
  <r>
    <x v="9"/>
    <s v="BBM106"/>
    <s v="Extensief beweid grasland"/>
    <n v="3.45242"/>
    <n v="1"/>
    <n v="82.043000000000006"/>
    <n v="1.0999629764741632"/>
    <n v="1.0999629764741632"/>
  </r>
  <r>
    <x v="9"/>
    <s v="BBM120"/>
    <s v="Hakhoutbeheer"/>
    <n v="1.1455"/>
    <n v="1"/>
    <n v="82.043000000000006"/>
    <n v="2.8625133942136998"/>
    <n v="28.637499999999999"/>
  </r>
  <r>
    <x v="9"/>
    <s v="BBM220"/>
    <s v="Nestgelegenheid en beplanting erfvogels"/>
    <n v="1"/>
    <n v="1"/>
    <n v="82.043000000000006"/>
    <n v="0.1"/>
    <n v="0.1"/>
  </r>
  <r>
    <x v="10"/>
    <s v="BBM101"/>
    <s v="grasland met rustperiode"/>
    <n v="2.4361000000000002"/>
    <n v="1"/>
    <n v="68.491299999999995"/>
    <n v="0.94655188158715442"/>
    <n v="0.94655188158715442"/>
  </r>
  <r>
    <x v="10"/>
    <s v="BBM104"/>
    <s v="legselbeheer"/>
    <n v="5.7154999999999996"/>
    <n v="1"/>
    <n v="68.491299999999995"/>
    <n v="0.19297860257702007"/>
    <n v="0.19297860257702007"/>
  </r>
  <r>
    <x v="10"/>
    <s v="BBM107"/>
    <s v="Bodemverbetering grasland met ruige mest"/>
    <n v="9.08"/>
    <n v="1"/>
    <n v="68.491299999999995"/>
    <n v="0.83935579829513651"/>
    <n v="0.83935579829513651"/>
  </r>
  <r>
    <x v="10"/>
    <s v="BBM110"/>
    <s v="Natuurvriendelijke oever"/>
    <n v="0.33029999999999998"/>
    <n v="1"/>
    <n v="68.491299999999995"/>
    <n v="0.82539343003822341"/>
    <n v="8.2575000000000003"/>
  </r>
  <r>
    <x v="10"/>
    <s v="BBM220"/>
    <s v="Nestgelegenheid en beplanting erfvogels"/>
    <n v="1"/>
    <n v="1"/>
    <n v="68.491299999999995"/>
    <n v="0.1"/>
    <n v="0.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s v="BBM101"/>
    <s v="grasland met rustperiode"/>
    <n v="8.7509789999999992"/>
    <n v="0"/>
    <n v="54.4465"/>
    <n v="3.4002116654405294"/>
    <n v="3.4002116654405294"/>
    <n v="3.4002116654405294"/>
  </r>
  <r>
    <x v="0"/>
    <s v="BBM104"/>
    <s v="legselbeheer"/>
    <n v="36.227440000000001"/>
    <n v="0"/>
    <n v="54.4465"/>
    <n v="1.223186203506752"/>
    <n v="1.223186203506752"/>
    <n v="1.223186203506752"/>
  </r>
  <r>
    <x v="0"/>
    <s v="KRGL"/>
    <s v="kruidenrijk grasland"/>
    <n v="1.189937"/>
    <n v="0"/>
    <n v="54.4465"/>
    <m/>
    <m/>
    <m/>
  </r>
  <r>
    <x v="0"/>
    <s v="BBM107"/>
    <s v="ruige mest"/>
    <n v="8.7511259999999993"/>
    <n v="0"/>
    <n v="54.4465"/>
    <n v="0.80895466406512384"/>
    <n v="0.80895466406512384"/>
    <n v="0.80895466406512384"/>
  </r>
  <r>
    <x v="0"/>
    <s v="BBM108"/>
    <s v="hoog waterpeil"/>
    <n v="2.5640879999999999"/>
    <n v="0"/>
    <n v="54.4465"/>
    <n v="0.10770670481551969"/>
    <n v="0.10770670481551969"/>
    <n v="0.10770670481551969"/>
  </r>
  <r>
    <x v="0"/>
    <s v="BBM220"/>
    <s v="Nestgelegenheid en beplanting erfvogels"/>
    <n v="2E-3"/>
    <n v="0"/>
    <n v="54.4465"/>
    <n v="2.0000000000000001E-4"/>
    <n v="2.0000000000000001E-4"/>
    <n v="2.0000000000000001E-4"/>
  </r>
  <r>
    <x v="1"/>
    <s v="KRGL"/>
    <s v="botanisch waardevol grasland"/>
    <n v="3.838212"/>
    <n v="1"/>
    <n v="83.029499999999999"/>
    <m/>
    <m/>
    <m/>
  </r>
  <r>
    <x v="1"/>
    <s v="BBM121"/>
    <s v="Beheer van bomenrijen"/>
    <n v="5.9999999999999995E-4"/>
    <n v="1"/>
    <n v="83.029499999999999"/>
    <n v="7.4967613990755992E-3"/>
    <n v="1.4999999999999999E-2"/>
    <n v="1.4999999999999999E-2"/>
  </r>
  <r>
    <x v="1"/>
    <s v="BBM122"/>
    <s v="Knip- en scheerheg"/>
    <n v="2.5999999999999999E-3"/>
    <n v="1"/>
    <n v="83.029499999999999"/>
    <n v="6.4971932125321855E-3"/>
    <n v="6.5000000000000002E-2"/>
    <n v="1.2999999999999999E-2"/>
  </r>
  <r>
    <x v="1"/>
    <s v="BBM126"/>
    <s v="Half- en hoogstamboomgaard"/>
    <n v="7.8399999999999997E-2"/>
    <n v="1"/>
    <n v="83.029499999999999"/>
    <n v="0.19600000000000001"/>
    <n v="1.96"/>
    <n v="0.39200000000000002"/>
  </r>
  <r>
    <x v="1"/>
    <s v="BBM129"/>
    <s v="Bosje"/>
    <n v="0.15240000000000001"/>
    <n v="1"/>
    <n v="83.029499999999999"/>
    <n v="0.38083547907304049"/>
    <n v="3.81"/>
    <n v="0.76200000000000001"/>
  </r>
  <r>
    <x v="1"/>
    <s v="BBM111"/>
    <s v="rietzoom en klein rietperceel"/>
    <n v="8.1233E-2"/>
    <n v="1"/>
    <n v="83.029499999999999"/>
    <n v="0.20299480624370272"/>
    <n v="2.0308250000000001"/>
    <n v="0.406165"/>
  </r>
  <r>
    <x v="1"/>
    <s v="BBM146"/>
    <s v="Solitaire boom op landbouwgrond"/>
    <n v="2.9999999999999997E-4"/>
    <n v="1"/>
    <n v="83.029499999999999"/>
    <n v="3.7483806995377996E-3"/>
    <n v="7.4999999999999997E-3"/>
    <n v="7.4999999999999997E-3"/>
  </r>
  <r>
    <x v="1"/>
    <s v="BBM171"/>
    <s v="Bodemverbetering bouwland met ruige mest"/>
    <n v="7.3616999999999999"/>
    <n v="1"/>
    <n v="83.029499999999999"/>
    <n v="2.2358130567594796"/>
    <n v="2.2358130567594796"/>
    <n v="2.2358130567594796"/>
  </r>
  <r>
    <x v="1"/>
    <s v="BBM220"/>
    <s v="Nestgelegenheid en beplanting erfvogels"/>
    <n v="3.0000000000000001E-3"/>
    <n v="1"/>
    <n v="83.029499999999999"/>
    <n v="3.0000000000000003E-4"/>
    <n v="3.0000000000000003E-4"/>
    <n v="3.0000000000000003E-4"/>
  </r>
  <r>
    <x v="2"/>
    <s v="BBM101"/>
    <s v="grasland met rustperiode"/>
    <n v="3.2951709999999999"/>
    <n v="0"/>
    <n v="79.901899999999998"/>
    <n v="1.2803457617509235"/>
    <n v="1.2803457617509235"/>
    <n v="1.2803457617509235"/>
  </r>
  <r>
    <x v="2"/>
    <s v="KRGL"/>
    <s v="kruidenrijk grasland"/>
    <n v="1.014027"/>
    <n v="0"/>
    <n v="79.901899999999998"/>
    <m/>
    <m/>
    <m/>
  </r>
  <r>
    <x v="2"/>
    <s v="BBM107"/>
    <s v="ruige mest"/>
    <n v="3.2951380000000001"/>
    <n v="0"/>
    <n v="79.901899999999998"/>
    <n v="0.30460277384170042"/>
    <n v="0.30460277384170042"/>
    <n v="0.30460277384170042"/>
  </r>
  <r>
    <x v="2"/>
    <s v="BBM106"/>
    <s v="Extensief beweid grasland"/>
    <n v="2.2629999999999999"/>
    <n v="0"/>
    <n v="79.901899999999998"/>
    <n v="0.7210061973227565"/>
    <n v="0.7210061973227565"/>
    <n v="0.7210061973227565"/>
  </r>
  <r>
    <x v="2"/>
    <s v="BBM119"/>
    <s v="Kruidenrijke akkerrand"/>
    <n v="8.72E-2"/>
    <n v="0"/>
    <n v="79.901899999999998"/>
    <m/>
    <m/>
    <m/>
  </r>
  <r>
    <x v="2"/>
    <s v="BBM220"/>
    <s v="Nestgelegenheid en beplanting erfvogels"/>
    <n v="1.4200000000000001E-2"/>
    <n v="0"/>
    <n v="79.901899999999998"/>
    <n v="1.4200000000000003E-3"/>
    <n v="1.4200000000000003E-3"/>
    <n v="1.4200000000000003E-3"/>
  </r>
  <r>
    <x v="2"/>
    <s v="BBM120"/>
    <s v="Hakhoutbeheer"/>
    <n v="0.57310000000000005"/>
    <n v="0"/>
    <n v="79.901899999999998"/>
    <n v="1.4321313192700755"/>
    <n v="14.327500000000001"/>
    <n v="2.8655000000000004"/>
  </r>
  <r>
    <x v="2"/>
    <s v="BBM121"/>
    <s v="Beheer van bomenrijen"/>
    <n v="2.3E-3"/>
    <n v="0"/>
    <n v="79.901899999999998"/>
    <n v="2.8737585363123132E-2"/>
    <n v="5.7499999999999996E-2"/>
    <n v="5.7499999999999996E-2"/>
  </r>
  <r>
    <x v="2"/>
    <s v="BBM146"/>
    <s v="Solitaire boom op landbouwgrond"/>
    <n v="6.9999999999999999E-4"/>
    <n v="0"/>
    <n v="79.901899999999998"/>
    <n v="8.7462216322548667E-3"/>
    <n v="1.7499999999999998E-2"/>
    <n v="1.7499999999999998E-2"/>
  </r>
  <r>
    <x v="3"/>
    <s v="BBM100"/>
    <s v="Structuurrijk grasland"/>
    <n v="3.1677"/>
    <n v="0"/>
    <n v="58.893099999999997"/>
    <m/>
    <m/>
    <m/>
  </r>
  <r>
    <x v="3"/>
    <s v="BBM118"/>
    <s v="Kruidenrijke akker"/>
    <n v="1.6480999999999999"/>
    <n v="0"/>
    <n v="58.893099999999997"/>
    <n v="2.6070381563164715"/>
    <n v="2.6070381563164715"/>
    <n v="2.6070381563164715"/>
  </r>
  <r>
    <x v="3"/>
    <s v="BBM119"/>
    <s v="Kruidenrijke akkerrand"/>
    <n v="0.17280000000000001"/>
    <n v="0"/>
    <n v="58.893099999999997"/>
    <m/>
    <m/>
    <m/>
  </r>
  <r>
    <x v="3"/>
    <s v="BBM120"/>
    <s v="Hakhoutbeheer"/>
    <n v="0.1903"/>
    <n v="0"/>
    <n v="58.893099999999997"/>
    <n v="0.47554456474802886"/>
    <n v="4.7575000000000003"/>
    <n v="0.95150000000000001"/>
  </r>
  <r>
    <x v="3"/>
    <s v="BBM129"/>
    <s v="Bosje"/>
    <n v="0.37359999999999999"/>
    <n v="0"/>
    <n v="58.893099999999997"/>
    <n v="0.9335966862315479"/>
    <n v="9.34"/>
    <n v="1.8679999999999999"/>
  </r>
  <r>
    <x v="3"/>
    <s v="BBM146"/>
    <s v="Solitaire boom op landbouwgrond"/>
    <n v="1E-4"/>
    <n v="0"/>
    <n v="58.893099999999997"/>
    <n v="1.2494602331792667E-3"/>
    <n v="2.5000000000000001E-3"/>
    <n v="2.5000000000000001E-3"/>
  </r>
  <r>
    <x v="3"/>
    <s v="BBM220"/>
    <s v="Nestgelegenheid en beplanting erfvogels"/>
    <n v="2.7000000000000001E-3"/>
    <n v="0"/>
    <n v="58.893099999999997"/>
    <n v="2.7E-4"/>
    <n v="2.7E-4"/>
    <n v="2.7E-4"/>
  </r>
  <r>
    <x v="4"/>
    <s v="BBM101"/>
    <s v="grasland met rustperiode"/>
    <n v="6.5934900000000001"/>
    <n v="0"/>
    <n v="65.807400000000001"/>
    <n v="2.5619146856557968"/>
    <n v="2.5619146856557968"/>
    <n v="2.5619146856557968"/>
  </r>
  <r>
    <x v="4"/>
    <s v="BBM103"/>
    <s v="plas-dras"/>
    <n v="0.32290200000000002"/>
    <n v="0"/>
    <n v="65.807400000000001"/>
    <n v="0.41541349788091547"/>
    <n v="0.41541349788091547"/>
    <n v="0.41541349788091547"/>
  </r>
  <r>
    <x v="4"/>
    <s v="BBM104"/>
    <s v="legselbeheer"/>
    <n v="27.077839000000001"/>
    <n v="0"/>
    <n v="65.807400000000001"/>
    <n v="0.91425833803263667"/>
    <n v="0.91425833803263667"/>
    <n v="0.91425833803263667"/>
  </r>
  <r>
    <x v="4"/>
    <s v="KRGL"/>
    <s v="kruidenrijk grasland"/>
    <n v="7.702763"/>
    <n v="0"/>
    <n v="65.807400000000001"/>
    <m/>
    <m/>
    <m/>
  </r>
  <r>
    <x v="4"/>
    <s v="BBM107"/>
    <s v="ruige mest"/>
    <n v="18.587437999999999"/>
    <n v="0"/>
    <n v="65.807400000000001"/>
    <n v="1.7182239934748189"/>
    <n v="1.7182239934748189"/>
    <n v="1.7182239934748189"/>
  </r>
  <r>
    <x v="4"/>
    <s v="KRGL"/>
    <s v="botanisch waardevol grasland"/>
    <n v="3.3354119999999998"/>
    <n v="0"/>
    <n v="65.807400000000001"/>
    <m/>
    <m/>
    <m/>
  </r>
  <r>
    <x v="4"/>
    <s v="BBM119"/>
    <s v="kruidenrijke akkerranden"/>
    <n v="0.43581300000000001"/>
    <n v="0"/>
    <n v="65.807400000000001"/>
    <m/>
    <m/>
    <m/>
  </r>
  <r>
    <x v="4"/>
    <s v="BBM104"/>
    <s v="legselbeheer"/>
    <n v="23.463200000000001"/>
    <n v="0"/>
    <n v="65.807400000000001"/>
    <n v="0.79221337555509364"/>
    <n v="0.79221337555509364"/>
    <n v="0.79221337555509364"/>
  </r>
  <r>
    <x v="4"/>
    <s v="BBM126"/>
    <s v="Half- en hoogstamboomgaard"/>
    <n v="3.3000000000000002E-2"/>
    <n v="0"/>
    <n v="65.807400000000001"/>
    <n v="8.2500000000000004E-2"/>
    <n v="0.82500000000000007"/>
    <n v="0.16500000000000001"/>
  </r>
  <r>
    <x v="4"/>
    <s v="BBM220"/>
    <s v="Nestgelegenheid en beplanting erfvogels"/>
    <n v="1"/>
    <n v="0"/>
    <n v="65.807400000000001"/>
    <n v="0.1"/>
    <n v="0.1"/>
    <n v="0.1"/>
  </r>
  <r>
    <x v="4"/>
    <s v="BBM230"/>
    <s v="Leibomen bij historische boerderij"/>
    <n v="1"/>
    <n v="0"/>
    <n v="65.807400000000001"/>
    <n v="0.1"/>
    <n v="0.1"/>
    <n v="0.1"/>
  </r>
  <r>
    <x v="4"/>
    <s v="BBM132"/>
    <s v="duurzaam slootbeheer"/>
    <n v="1.1429100000000001"/>
    <n v="0"/>
    <n v="65.807400000000001"/>
    <n v="2.8560411902058314"/>
    <n v="28.572750000000003"/>
    <n v="5.7145500000000009"/>
  </r>
  <r>
    <x v="4"/>
    <s v="BBM120"/>
    <s v="Hakhoutbeheer"/>
    <n v="4.9883999999999998E-2"/>
    <n v="0"/>
    <n v="65.807400000000001"/>
    <n v="0.12465614854382906"/>
    <n v="1.2470999999999999"/>
    <n v="0.24941999999999998"/>
  </r>
  <r>
    <x v="4"/>
    <s v="BBM146"/>
    <s v="boom op landbouwgrond"/>
    <n v="6.1226000000000003E-2"/>
    <n v="0"/>
    <n v="65.807400000000001"/>
    <n v="0.7649945223663378"/>
    <n v="1.5306500000000001"/>
    <n v="1.5306500000000001"/>
  </r>
  <r>
    <x v="5"/>
    <s v="BBM101"/>
    <s v="grasland met rustperiode"/>
    <n v="8.6448990000000006"/>
    <n v="0"/>
    <n v="57.034199999999998"/>
    <n v="3.3589940538487375"/>
    <n v="3.3589940538487375"/>
    <n v="3.3589940538487375"/>
  </r>
  <r>
    <x v="5"/>
    <s v="BBM103"/>
    <s v="plas-dras"/>
    <n v="0.45857500000000001"/>
    <n v="0"/>
    <n v="57.034199999999998"/>
    <n v="0.5899568438434597"/>
    <n v="0.5899568438434597"/>
    <n v="0.5899568438434597"/>
  </r>
  <r>
    <x v="5"/>
    <s v="BBM104"/>
    <s v="legselbeheer"/>
    <n v="33.426977999999998"/>
    <n v="0"/>
    <n v="57.034199999999998"/>
    <n v="1.1286311788667296"/>
    <n v="1.1286311788667296"/>
    <n v="1.1286311788667296"/>
  </r>
  <r>
    <x v="5"/>
    <s v="KRGL"/>
    <s v="kruidenrijk grasland"/>
    <n v="4.4764099999999996"/>
    <n v="0"/>
    <n v="57.034199999999998"/>
    <m/>
    <m/>
    <m/>
  </r>
  <r>
    <x v="5"/>
    <s v="BBM107"/>
    <s v="ruige mest"/>
    <n v="7.1833289999999996"/>
    <n v="0"/>
    <n v="57.034199999999998"/>
    <n v="0.6640274060805732"/>
    <n v="0.6640274060805732"/>
    <n v="0.6640274060805732"/>
  </r>
  <r>
    <x v="5"/>
    <s v="KRGL"/>
    <s v="botanisch waardevol grasland"/>
    <n v="1.300117"/>
    <n v="0"/>
    <n v="57.034199999999998"/>
    <m/>
    <m/>
    <m/>
  </r>
  <r>
    <x v="5"/>
    <s v="BBM101"/>
    <s v="grasland met rustperiode"/>
    <n v="1.7192000000000001"/>
    <n v="0"/>
    <n v="57.034199999999998"/>
    <n v="0.66799884849744906"/>
    <n v="0.66799884849744906"/>
    <n v="0.66799884849744906"/>
  </r>
  <r>
    <x v="5"/>
    <s v="BBM120"/>
    <s v="Hakhoutbeheer"/>
    <n v="3.7900000000000003E-2"/>
    <n v="0"/>
    <n v="57.034199999999998"/>
    <n v="9.4709085674988411E-2"/>
    <n v="0.94750000000000012"/>
    <n v="0.1895"/>
  </r>
  <r>
    <x v="5"/>
    <s v="BBM132"/>
    <s v="duurzaam slootbeheer"/>
    <n v="0.42265200000000003"/>
    <n v="0"/>
    <n v="57.034199999999998"/>
    <n v="1.0561737329473668"/>
    <n v="10.5663"/>
    <n v="2.1132600000000004"/>
  </r>
  <r>
    <x v="5"/>
    <s v="BBM122"/>
    <s v="Knip- en scheerheg"/>
    <n v="7.0000000000000001E-3"/>
    <n v="0"/>
    <n v="57.034199999999998"/>
    <n v="1.7492443264509733E-2"/>
    <n v="0.17500000000000002"/>
    <n v="3.5000000000000003E-2"/>
  </r>
  <r>
    <x v="5"/>
    <s v="BBM126"/>
    <s v="Half- en hoogstamboomgaard"/>
    <n v="5.0299999999999997E-2"/>
    <n v="0"/>
    <n v="57.034199999999998"/>
    <n v="0.12575"/>
    <n v="1.2574999999999998"/>
    <n v="0.2515"/>
  </r>
  <r>
    <x v="5"/>
    <s v="BBM220"/>
    <s v="Nestgelegenheid en beplanting erfvogels"/>
    <n v="1"/>
    <n v="0"/>
    <n v="57.034199999999998"/>
    <n v="0.1"/>
    <n v="0.1"/>
    <n v="0.1"/>
  </r>
  <r>
    <x v="6"/>
    <s v="KRGL"/>
    <s v="botanisch waardevol grasland"/>
    <n v="0.156693"/>
    <n v="1"/>
    <n v="82.344800000000006"/>
    <m/>
    <m/>
    <m/>
  </r>
  <r>
    <x v="6"/>
    <s v="BBM104"/>
    <s v="legselbeheer"/>
    <n v="9.7177000000000007"/>
    <n v="1"/>
    <n v="82.344800000000006"/>
    <n v="0.32810920588972237"/>
    <n v="0.32810920588972237"/>
    <n v="0.32810920588972237"/>
  </r>
  <r>
    <x v="6"/>
    <s v="BBM107"/>
    <s v="Bodemverbetering grasland met ruige mest"/>
    <n v="5.6073000000000004"/>
    <n v="1"/>
    <n v="82.344800000000006"/>
    <n v="0.51833918147360347"/>
    <n v="0.51833918147360347"/>
    <n v="0.51833918147360347"/>
  </r>
  <r>
    <x v="6"/>
    <s v="BBM110"/>
    <s v="Natuurvriendelijke oever"/>
    <n v="0.18990000000000001"/>
    <n v="1"/>
    <n v="82.344800000000006"/>
    <n v="0.47454499656148547"/>
    <n v="4.7475000000000005"/>
    <n v="0.94950000000000001"/>
  </r>
  <r>
    <x v="6"/>
    <s v="KRGL"/>
    <s v="botanisch waardevol grasland"/>
    <n v="26.789200000000001"/>
    <n v="1"/>
    <n v="82.344800000000006"/>
    <m/>
    <m/>
    <m/>
  </r>
  <r>
    <x v="6"/>
    <s v="BBM220"/>
    <s v="Nestgelegenheid en beplanting erfvogels"/>
    <n v="1"/>
    <n v="1"/>
    <n v="82.344800000000006"/>
    <n v="0.1"/>
    <n v="0.1"/>
    <n v="0.1"/>
  </r>
  <r>
    <x v="6"/>
    <s v="BBM129"/>
    <s v="Bosje"/>
    <n v="4.3200000000000002E-2"/>
    <n v="1"/>
    <n v="82.344800000000006"/>
    <n v="0.10795336414668864"/>
    <n v="1.08"/>
    <n v="0.21600000000000003"/>
  </r>
  <r>
    <x v="6"/>
    <s v="BBM132"/>
    <s v="duurzaam slootbeheer"/>
    <n v="4.0178999999999999E-2"/>
    <n v="1"/>
    <n v="82.344800000000006"/>
    <n v="0.1004041254178195"/>
    <n v="1.004475"/>
    <n v="0.20089499999999999"/>
  </r>
  <r>
    <x v="7"/>
    <s v="BBM121"/>
    <s v="Beheer van bomenrijen"/>
    <n v="1.8E-3"/>
    <n v="0"/>
    <n v="73.352199999999996"/>
    <n v="2.24902841972268E-2"/>
    <n v="4.4999999999999998E-2"/>
    <n v="4.4999999999999998E-2"/>
  </r>
  <r>
    <x v="7"/>
    <s v="BBM146"/>
    <s v="Solitaire boom op landbouwgrond"/>
    <n v="1E-4"/>
    <n v="0"/>
    <n v="73.352199999999996"/>
    <n v="1.2494602331792667E-3"/>
    <n v="2.5000000000000001E-3"/>
    <n v="2.5000000000000001E-3"/>
  </r>
  <r>
    <x v="7"/>
    <s v="BBM220"/>
    <s v="Nestgelegenheid en beplanting erfvogels"/>
    <n v="1"/>
    <n v="0"/>
    <n v="73.352199999999996"/>
    <n v="0.1"/>
    <n v="0.1"/>
    <n v="0.1"/>
  </r>
  <r>
    <x v="8"/>
    <s v="BBM101"/>
    <s v="grasland met rustperiode"/>
    <n v="4.7586769999999996"/>
    <n v="1"/>
    <n v="119.33669999999999"/>
    <n v="1.8489941579637594"/>
    <n v="1.8489941579637594"/>
    <n v="1.8489941579637594"/>
  </r>
  <r>
    <x v="8"/>
    <s v="BBM103"/>
    <s v="plas-dras"/>
    <n v="0.40550000000000003"/>
    <n v="1"/>
    <n v="119.33669999999999"/>
    <n v="0.52167584403537681"/>
    <n v="0.52167584403537681"/>
    <n v="0.52167584403537681"/>
  </r>
  <r>
    <x v="8"/>
    <s v="KRGL"/>
    <s v="kruidenrijk grasland"/>
    <n v="5.1707999999999998"/>
    <n v="1"/>
    <n v="119.33669999999999"/>
    <m/>
    <m/>
    <m/>
  </r>
  <r>
    <x v="8"/>
    <s v="KRGL"/>
    <s v="kruidenrijk grasland"/>
    <n v="4.9817"/>
    <n v="1"/>
    <n v="119.33669999999999"/>
    <m/>
    <m/>
    <m/>
  </r>
  <r>
    <x v="8"/>
    <s v="BBM107"/>
    <s v="ruige mest"/>
    <n v="9.7403980000000008"/>
    <n v="1"/>
    <n v="119.33669999999999"/>
    <n v="0.90040303292977442"/>
    <n v="0.90040303292977442"/>
    <n v="0.90040303292977442"/>
  </r>
  <r>
    <x v="8"/>
    <s v="BBM102"/>
    <s v="Kuikenvelden"/>
    <n v="8.8210999999999995"/>
    <n v="1"/>
    <n v="119.33669999999999"/>
    <n v="4.582875133942137"/>
    <n v="4.582875133942137"/>
    <n v="4.582875133942137"/>
  </r>
  <r>
    <x v="9"/>
    <s v="BBM101"/>
    <s v="grasland met rustperiode"/>
    <n v="8.4374359999999999"/>
    <n v="1"/>
    <n v="82.043000000000006"/>
    <n v="3.2783838600924398"/>
    <n v="3.2783838600924398"/>
    <n v="3.2783838600924398"/>
  </r>
  <r>
    <x v="9"/>
    <s v="BBM104"/>
    <s v="legselbeheer"/>
    <n v="28.293969000000001"/>
    <n v="1"/>
    <n v="82.043000000000006"/>
    <n v="0.95531984935307956"/>
    <n v="0.95531984935307956"/>
    <n v="0.95531984935307956"/>
  </r>
  <r>
    <x v="9"/>
    <s v="BBM106"/>
    <s v="Extensief beweid grasland"/>
    <n v="3.45242"/>
    <n v="1"/>
    <n v="82.043000000000006"/>
    <n v="1.0999629764741632"/>
    <n v="1.0999629764741632"/>
    <n v="1.0999629764741632"/>
  </r>
  <r>
    <x v="9"/>
    <s v="BBM120"/>
    <s v="Hakhoutbeheer"/>
    <n v="1.1455"/>
    <n v="1"/>
    <n v="82.043000000000006"/>
    <n v="2.8625133942136998"/>
    <n v="28.637499999999999"/>
    <n v="5.7275"/>
  </r>
  <r>
    <x v="9"/>
    <s v="BBM220"/>
    <s v="Nestgelegenheid en beplanting erfvogels"/>
    <n v="1"/>
    <n v="1"/>
    <n v="82.043000000000006"/>
    <n v="0.1"/>
    <n v="0.1"/>
    <n v="0.1"/>
  </r>
  <r>
    <x v="10"/>
    <s v="BBM101"/>
    <s v="grasland met rustperiode"/>
    <n v="2.4361000000000002"/>
    <n v="1"/>
    <n v="68.491299999999995"/>
    <n v="0.94655188158715442"/>
    <n v="0.94655188158715442"/>
    <n v="0.94655188158715442"/>
  </r>
  <r>
    <x v="10"/>
    <s v="BBM104"/>
    <s v="legselbeheer"/>
    <n v="5.7154999999999996"/>
    <n v="1"/>
    <n v="68.491299999999995"/>
    <n v="0.19297860257702007"/>
    <n v="0.19297860257702007"/>
    <n v="0.19297860257702007"/>
  </r>
  <r>
    <x v="10"/>
    <s v="BBM107"/>
    <s v="Bodemverbetering grasland met ruige mest"/>
    <n v="9.08"/>
    <n v="1"/>
    <n v="68.491299999999995"/>
    <n v="0.83935579829513651"/>
    <n v="0.83935579829513651"/>
    <n v="0.83935579829513651"/>
  </r>
  <r>
    <x v="10"/>
    <s v="BBM110"/>
    <s v="Natuurvriendelijke oever"/>
    <n v="0.33029999999999998"/>
    <n v="1"/>
    <n v="68.491299999999995"/>
    <n v="0.82539343003822341"/>
    <n v="8.2575000000000003"/>
    <n v="1.6515"/>
  </r>
  <r>
    <x v="10"/>
    <s v="BBM220"/>
    <s v="Nestgelegenheid en beplanting erfvogels"/>
    <n v="1"/>
    <n v="1"/>
    <n v="68.491299999999995"/>
    <n v="0.1"/>
    <n v="0.1"/>
    <n v="0.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1">
  <r>
    <s v="BBM103"/>
    <s v="(Greppel-) Plas-dras"/>
    <n v="3.0163000000000002"/>
    <x v="0"/>
    <s v="1TBO"/>
    <s v="gangbaar"/>
    <s v="veen"/>
    <n v="3.8804706494794252"/>
    <n v="3.8804706494794252"/>
    <n v="3.8804706494794252"/>
  </r>
  <r>
    <s v="BBM101"/>
    <s v="Grasland met rustperiode"/>
    <n v="1.3834"/>
    <x v="0"/>
    <s v="1TBO"/>
    <s v="gangbaar"/>
    <s v="veen"/>
    <n v="0.53752303804756341"/>
    <n v="0.53752303804756341"/>
    <n v="0.53752303804756341"/>
  </r>
  <r>
    <s v="BBM101"/>
    <s v="Grasland met rustperiode"/>
    <n v="1.4772000000000001"/>
    <x v="0"/>
    <s v="1TBO"/>
    <s v="gangbaar"/>
    <s v="veen"/>
    <n v="0.57396922929294547"/>
    <n v="0.57396922929294547"/>
    <n v="0.57396922929294547"/>
  </r>
  <r>
    <s v="BBM101"/>
    <s v="Grasland met rustperiode"/>
    <n v="2.5304000000000002"/>
    <x v="0"/>
    <s v="1TBO"/>
    <s v="gangbaar"/>
    <s v="veen"/>
    <n v="0.98319234890527296"/>
    <n v="0.98319234890527296"/>
    <n v="0.98319234890527296"/>
  </r>
  <r>
    <s v="BBM101"/>
    <s v="Grasland met rustperiode"/>
    <n v="1.9950000000000001"/>
    <x v="0"/>
    <s v="1TBO"/>
    <s v="gangbaar"/>
    <s v="veen"/>
    <n v="0.7751615302189454"/>
    <n v="0.7751615302189454"/>
    <n v="0.7751615302189454"/>
  </r>
  <r>
    <s v="BBM101"/>
    <s v="Grasland met rustperiode"/>
    <n v="3.7044999999999999"/>
    <x v="0"/>
    <s v="1TBO"/>
    <s v="gangbaar"/>
    <s v="veen"/>
    <n v="1.4393914229053049"/>
    <n v="1.4393914229053049"/>
    <n v="1.4393914229053049"/>
  </r>
  <r>
    <s v="BBM104"/>
    <s v="Legselbeheer"/>
    <n v="4.4241999999999999"/>
    <x v="0"/>
    <m/>
    <s v="gangbaar"/>
    <s v="veen"/>
    <n v="0.14937904531908883"/>
    <n v="0.14937904531908883"/>
    <n v="0.14937904531908883"/>
  </r>
  <r>
    <s v="BBM104"/>
    <s v="Legselbeheer"/>
    <n v="2.0611999999999999"/>
    <x v="0"/>
    <m/>
    <s v="gangbaar"/>
    <s v="veen"/>
    <n v="6.9594522899440778E-2"/>
    <n v="6.9594522899440778E-2"/>
    <n v="6.9594522899440778E-2"/>
  </r>
  <r>
    <s v="BBM104"/>
    <s v="Legselbeheer"/>
    <n v="2.1627000000000001"/>
    <x v="0"/>
    <m/>
    <s v="gangbaar"/>
    <s v="veen"/>
    <n v="7.3021577078702007E-2"/>
    <n v="7.3021577078702007E-2"/>
    <n v="7.3021577078702007E-2"/>
  </r>
  <r>
    <s v="BBM104"/>
    <s v="Legselbeheer"/>
    <n v="2.4618000000000002"/>
    <x v="0"/>
    <m/>
    <s v="gangbaar"/>
    <s v="veen"/>
    <n v="8.3120413581332889E-2"/>
    <n v="8.3120413581332889E-2"/>
    <n v="8.3120413581332889E-2"/>
  </r>
  <r>
    <s v="BBM104"/>
    <s v="Legselbeheer"/>
    <n v="1.6565000000000001"/>
    <x v="0"/>
    <m/>
    <s v="gangbaar"/>
    <s v="veen"/>
    <n v="5.5930199487154893E-2"/>
    <n v="5.5930199487154893E-2"/>
    <n v="5.5930199487154893E-2"/>
  </r>
  <r>
    <s v="BBM104"/>
    <s v="Legselbeheer"/>
    <n v="2.2829999999999999"/>
    <x v="0"/>
    <m/>
    <s v="gangbaar"/>
    <s v="veen"/>
    <n v="7.70833959729397E-2"/>
    <n v="7.70833959729397E-2"/>
    <n v="7.70833959729397E-2"/>
  </r>
  <r>
    <s v="BBM104"/>
    <s v="Legselbeheer"/>
    <n v="4.6379000000000001"/>
    <x v="0"/>
    <m/>
    <s v="gangbaar"/>
    <s v="veen"/>
    <n v="0.15659442933985854"/>
    <n v="0.15659442933985854"/>
    <n v="0.15659442933985854"/>
  </r>
  <r>
    <s v="BBM220"/>
    <s v="Nestgelegenheid en beplanting erfvogels"/>
    <n v="1"/>
    <x v="0"/>
    <m/>
    <s v="gangbaar"/>
    <s v="veen"/>
    <n v="0.1"/>
    <n v="0.1"/>
    <n v="0.1"/>
  </r>
  <r>
    <s v="BBM109"/>
    <s v="Poel en klein historisch water"/>
    <n v="0.15509999999999999"/>
    <x v="1"/>
    <m/>
    <s v="gangbaar"/>
    <s v="zand"/>
    <n v="0.38758256433220845"/>
    <n v="3.8774999999999995"/>
    <n v="0.77549999999999997"/>
  </r>
  <r>
    <s v="BBM111"/>
    <s v="Rietzoom en klein rietperceel"/>
    <n v="8.2600000000000007E-2"/>
    <x v="1"/>
    <m/>
    <s v="gangbaar"/>
    <s v="zand"/>
    <n v="0.20641083052121487"/>
    <n v="2.0650000000000004"/>
    <n v="0.41300000000000003"/>
  </r>
  <r>
    <s v="KRGL"/>
    <s v="Botanisch graslandrand"/>
    <n v="6.7900000000000002E-2"/>
    <x v="1"/>
    <m/>
    <s v="gangbaar"/>
    <s v="zand"/>
    <m/>
    <m/>
    <m/>
  </r>
  <r>
    <s v="BBM171"/>
    <s v="Bodemverbetering bouwland met ruige mest"/>
    <n v="4.8368000000000002"/>
    <x v="1"/>
    <m/>
    <s v="gangbaar"/>
    <s v="zand"/>
    <n v="1.4689787131958993"/>
    <n v="1.4689787131958993"/>
    <n v="1.4689787131958993"/>
  </r>
  <r>
    <s v="BBM171"/>
    <s v="Bodemverbetering bouwland met ruige mest"/>
    <n v="0.67959999999999998"/>
    <x v="1"/>
    <m/>
    <s v="gangbaar"/>
    <s v="zand"/>
    <n v="0.20640049898443871"/>
    <n v="0.20640049898443871"/>
    <n v="0.20640049898443871"/>
  </r>
  <r>
    <s v="BBM132"/>
    <s v="Duurzaam slootbeheer: ecologisch slootschonen"/>
    <n v="2.69E-2"/>
    <x v="1"/>
    <m/>
    <s v="gangbaar"/>
    <s v="zand"/>
    <n v="6.7220960545044547E-2"/>
    <n v="0.67249999999999999"/>
    <n v="0.13450000000000001"/>
  </r>
  <r>
    <s v="BBM220"/>
    <s v="Nestgelegenheid en beplanting erfvogels"/>
    <n v="1"/>
    <x v="1"/>
    <m/>
    <s v="gangbaar"/>
    <s v="zand"/>
    <n v="0.1"/>
    <n v="0.1"/>
    <n v="0.1"/>
  </r>
  <r>
    <s v="BBM104"/>
    <s v="Legselbeheer"/>
    <n v="4.9047999999999998"/>
    <x v="1"/>
    <m/>
    <s v="gangbaar"/>
    <s v="zand"/>
    <n v="0.16560606244768927"/>
    <n v="0.16560606244768927"/>
    <n v="0.16560606244768927"/>
  </r>
  <r>
    <s v="BBM104"/>
    <s v="Legselbeheer"/>
    <n v="11.2194"/>
    <x v="1"/>
    <m/>
    <s v="gangbaar"/>
    <s v="zand"/>
    <n v="0.37881272570249658"/>
    <n v="0.37881272570249658"/>
    <n v="0.37881272570249658"/>
  </r>
  <r>
    <s v="BBM104"/>
    <s v="Legselbeheer"/>
    <n v="4.6772"/>
    <x v="1"/>
    <m/>
    <s v="gangbaar"/>
    <s v="zand"/>
    <n v="0.15792135770680402"/>
    <n v="0.15792135770680402"/>
    <n v="0.15792135770680402"/>
  </r>
  <r>
    <s v="BBM104"/>
    <s v="Legselbeheer"/>
    <n v="4.8029999999999999"/>
    <x v="1"/>
    <m/>
    <s v="gangbaar"/>
    <s v="zand"/>
    <n v="0.16216887904425289"/>
    <n v="0.16216887904425289"/>
    <n v="0.16216887904425289"/>
  </r>
  <r>
    <s v="BBM104"/>
    <s v="Legselbeheer"/>
    <n v="2.0095000000000001"/>
    <x v="1"/>
    <m/>
    <s v="gangbaar"/>
    <s v="zand"/>
    <n v="6.7848919933255508E-2"/>
    <n v="6.7848919933255508E-2"/>
    <n v="6.7848919933255508E-2"/>
  </r>
  <r>
    <s v="BBM104"/>
    <s v="Legselbeheer"/>
    <n v="2.6435"/>
    <x v="1"/>
    <m/>
    <s v="gangbaar"/>
    <s v="zand"/>
    <n v="8.9255347023419224E-2"/>
    <n v="8.9255347023419224E-2"/>
    <n v="8.9255347023419224E-2"/>
  </r>
  <r>
    <s v="BBM104"/>
    <s v="Legselbeheer"/>
    <n v="3.5371999999999999"/>
    <x v="1"/>
    <m/>
    <s v="gangbaar"/>
    <s v="zand"/>
    <n v="0.11943030584120994"/>
    <n v="0.11943030584120994"/>
    <n v="0.11943030584120994"/>
  </r>
  <r>
    <s v="BBM121"/>
    <s v="Beheer van bomenrijen"/>
    <n v="0.19950000000000001"/>
    <x v="2"/>
    <m/>
    <s v="gangbaar"/>
    <s v="klei op veen"/>
    <n v="2.4926731651926373"/>
    <n v="4.9875000000000007"/>
    <n v="4.9875000000000007"/>
  </r>
  <r>
    <s v="BBM220"/>
    <s v="Nestgelegenheid en beplanting erfvogels"/>
    <n v="1"/>
    <x v="2"/>
    <m/>
    <s v="gangbaar"/>
    <s v="klei op veen"/>
    <n v="0.1"/>
    <n v="0.1"/>
    <n v="0.1"/>
  </r>
  <r>
    <s v="BBM132"/>
    <s v="Duurzaam slootbeheer: ecologisch slootschonen"/>
    <n v="0.51070000000000004"/>
    <x v="2"/>
    <m/>
    <s v="gangbaar"/>
    <s v="klei op veen"/>
    <n v="1.276198682169303"/>
    <n v="12.767500000000002"/>
    <n v="2.5535000000000001"/>
  </r>
  <r>
    <s v="BBM132"/>
    <s v="Duurzaam slootbeheer: ecologisch slootschonen"/>
    <n v="4.3999999999999997E-2"/>
    <x v="2"/>
    <m/>
    <s v="gangbaar"/>
    <s v="klei op veen"/>
    <n v="0.10995250051977545"/>
    <n v="1.0999999999999999"/>
    <n v="0.21999999999999997"/>
  </r>
  <r>
    <s v="BBM132"/>
    <s v="Duurzaam slootbeheer: ecologisch slootschonen"/>
    <n v="0.01"/>
    <x v="2"/>
    <m/>
    <s v="gangbaar"/>
    <s v="klei op veen"/>
    <n v="2.4989204663585333E-2"/>
    <n v="0.25"/>
    <n v="0.05"/>
  </r>
  <r>
    <s v="BBM132"/>
    <s v="Duurzaam slootbeheer: ecologisch slootschonen"/>
    <n v="4.1799999999999997E-2"/>
    <x v="2"/>
    <m/>
    <s v="gangbaar"/>
    <s v="klei op veen"/>
    <n v="0.10445487549378668"/>
    <n v="1.0449999999999999"/>
    <n v="0.20899999999999999"/>
  </r>
  <r>
    <s v="BBM132"/>
    <s v="Duurzaam slootbeheer: ecologisch slootschonen"/>
    <n v="0.1012"/>
    <x v="2"/>
    <m/>
    <s v="gangbaar"/>
    <s v="klei op veen"/>
    <n v="0.25289075119548354"/>
    <n v="2.5299999999999998"/>
    <n v="0.50600000000000001"/>
  </r>
  <r>
    <s v="BBM132"/>
    <s v="Duurzaam slootbeheer: ecologisch slootschonen"/>
    <n v="0.1641"/>
    <x v="2"/>
    <m/>
    <s v="gangbaar"/>
    <s v="klei op veen"/>
    <n v="0.41007284852943526"/>
    <n v="4.1025"/>
    <n v="0.82050000000000001"/>
  </r>
  <r>
    <s v="BBM132"/>
    <s v="Duurzaam slootbeheer: ecologisch slootschonen"/>
    <n v="7.3899999999999993E-2"/>
    <x v="2"/>
    <m/>
    <s v="gangbaar"/>
    <s v="klei op veen"/>
    <n v="0.18467022246389558"/>
    <n v="1.8474999999999999"/>
    <n v="0.36949999999999994"/>
  </r>
  <r>
    <s v="BBM132"/>
    <s v="Duurzaam slootbeheer: ecologisch slootschonen"/>
    <n v="0.13089999999999999"/>
    <x v="2"/>
    <m/>
    <s v="gangbaar"/>
    <s v="klei op veen"/>
    <n v="0.32710868904633195"/>
    <n v="3.2724999999999995"/>
    <n v="0.65449999999999997"/>
  </r>
  <r>
    <s v="BBM132"/>
    <s v="Duurzaam slootbeheer: ecologisch slootschonen"/>
    <n v="8.8900000000000007E-2"/>
    <x v="2"/>
    <m/>
    <s v="gangbaar"/>
    <s v="klei op veen"/>
    <n v="0.22215402945927362"/>
    <n v="2.2225000000000001"/>
    <n v="0.44450000000000001"/>
  </r>
  <r>
    <s v="BBM132"/>
    <s v="Duurzaam slootbeheer: ecologisch slootschonen"/>
    <n v="5.21E-2"/>
    <x v="2"/>
    <m/>
    <s v="gangbaar"/>
    <s v="klei op veen"/>
    <n v="0.13019375629727958"/>
    <n v="1.3025"/>
    <n v="0.26050000000000001"/>
  </r>
  <r>
    <s v="BBM132"/>
    <s v="Duurzaam slootbeheer: ecologisch slootschonen"/>
    <n v="0.1535"/>
    <x v="2"/>
    <m/>
    <s v="gangbaar"/>
    <s v="klei op veen"/>
    <n v="0.38358429158603485"/>
    <n v="3.8374999999999999"/>
    <n v="0.76749999999999996"/>
  </r>
  <r>
    <s v="BBM132"/>
    <s v="Duurzaam slootbeheer: ecologisch slootschonen"/>
    <n v="5.9400000000000001E-2"/>
    <x v="2"/>
    <m/>
    <s v="gangbaar"/>
    <s v="klei op veen"/>
    <n v="0.14843587570169686"/>
    <n v="1.4850000000000001"/>
    <n v="0.29699999999999999"/>
  </r>
  <r>
    <s v="BBM132"/>
    <s v="Duurzaam slootbeheer: ecologisch slootschonen"/>
    <n v="1.37E-2"/>
    <x v="2"/>
    <m/>
    <s v="gangbaar"/>
    <s v="klei op veen"/>
    <n v="3.4235210389111904E-2"/>
    <n v="0.34250000000000003"/>
    <n v="6.8500000000000005E-2"/>
  </r>
  <r>
    <s v="BBM132"/>
    <s v="Duurzaam slootbeheer: ecologisch slootschonen"/>
    <n v="0.1203"/>
    <x v="2"/>
    <m/>
    <s v="gangbaar"/>
    <s v="klei op veen"/>
    <n v="0.30062013210293154"/>
    <n v="3.0075000000000003"/>
    <n v="0.60150000000000003"/>
  </r>
  <r>
    <s v="BBM132"/>
    <s v="Duurzaam slootbeheer: ecologisch slootschonen"/>
    <n v="0.1381"/>
    <x v="2"/>
    <m/>
    <s v="gangbaar"/>
    <s v="klei op veen"/>
    <n v="0.34510091640411344"/>
    <n v="3.4525000000000001"/>
    <n v="0.6905"/>
  </r>
  <r>
    <s v="BBM132"/>
    <s v="Duurzaam slootbeheer: ecologisch slootschonen"/>
    <n v="6.5299999999999997E-2"/>
    <x v="2"/>
    <m/>
    <s v="gangbaar"/>
    <s v="klei op veen"/>
    <n v="0.16317950645321222"/>
    <n v="1.6324999999999998"/>
    <n v="0.32650000000000001"/>
  </r>
  <r>
    <s v="BBM132"/>
    <s v="Duurzaam slootbeheer: ecologisch slootschonen"/>
    <n v="4.7E-2"/>
    <x v="2"/>
    <m/>
    <s v="gangbaar"/>
    <s v="klei op veen"/>
    <n v="0.11744926191885106"/>
    <n v="1.175"/>
    <n v="0.23499999999999999"/>
  </r>
  <r>
    <s v="BBM132"/>
    <s v="Duurzaam slootbeheer: ecologisch slootschonen"/>
    <n v="9.7699999999999995E-2"/>
    <x v="2"/>
    <m/>
    <s v="gangbaar"/>
    <s v="klei op veen"/>
    <n v="0.24414452956322868"/>
    <n v="2.4424999999999999"/>
    <n v="0.48849999999999999"/>
  </r>
  <r>
    <s v="BBM132"/>
    <s v="Duurzaam slootbeheer: ecologisch slootschonen"/>
    <n v="5.5100000000000003E-2"/>
    <x v="2"/>
    <m/>
    <s v="gangbaar"/>
    <s v="klei op veen"/>
    <n v="0.13769051769635518"/>
    <n v="1.3775000000000002"/>
    <n v="0.27550000000000002"/>
  </r>
  <r>
    <s v="BBM132"/>
    <s v="Duurzaam slootbeheer: ecologisch slootschonen"/>
    <n v="4.8500000000000001E-2"/>
    <x v="2"/>
    <m/>
    <s v="gangbaar"/>
    <s v="klei op veen"/>
    <n v="0.12119764261838886"/>
    <n v="1.2125000000000001"/>
    <n v="0.24249999999999999"/>
  </r>
  <r>
    <s v="BBM132"/>
    <s v="Duurzaam slootbeheer: ecologisch slootschonen"/>
    <n v="0.17960000000000001"/>
    <x v="2"/>
    <m/>
    <s v="gangbaar"/>
    <s v="klei op veen"/>
    <n v="0.44880611575799256"/>
    <n v="4.49"/>
    <n v="0.89800000000000002"/>
  </r>
  <r>
    <s v="BBM132"/>
    <s v="Duurzaam slootbeheer: ecologisch slootschonen"/>
    <n v="5.5100000000000003E-2"/>
    <x v="2"/>
    <m/>
    <s v="gangbaar"/>
    <s v="klei op veen"/>
    <n v="0.13769051769635518"/>
    <n v="1.3775000000000002"/>
    <n v="0.27550000000000002"/>
  </r>
  <r>
    <s v="BBM132"/>
    <s v="Duurzaam slootbeheer: ecologisch slootschonen"/>
    <n v="2.1000000000000001E-2"/>
    <x v="2"/>
    <m/>
    <s v="gangbaar"/>
    <s v="klei op veen"/>
    <n v="5.2477329793529197E-2"/>
    <n v="0.52500000000000002"/>
    <n v="0.10500000000000001"/>
  </r>
  <r>
    <s v="BBM132"/>
    <s v="Duurzaam slootbeheer: ecologisch slootschonen"/>
    <n v="1.2699999999999999E-2"/>
    <x v="2"/>
    <m/>
    <s v="gangbaar"/>
    <s v="klei op veen"/>
    <n v="3.1736289922753368E-2"/>
    <n v="0.3175"/>
    <n v="6.3500000000000001E-2"/>
  </r>
  <r>
    <s v="BBM132"/>
    <s v="Duurzaam slootbeheer: ecologisch slootschonen"/>
    <n v="1.2800000000000001E-2"/>
    <x v="2"/>
    <m/>
    <s v="gangbaar"/>
    <s v="klei op veen"/>
    <n v="3.1986181969389224E-2"/>
    <n v="0.32"/>
    <n v="6.4000000000000001E-2"/>
  </r>
  <r>
    <s v="BBM103"/>
    <s v="Nesten beschermen op grasland in combinatie met plas-dras/kruidenrijk grasland"/>
    <n v="2.01203600930869"/>
    <x v="3"/>
    <m/>
    <s v="bio"/>
    <s v="veen"/>
    <n v="2.5884847925664167"/>
    <n v="2.5884847925664167"/>
    <n v="2.5884847925664167"/>
  </r>
  <r>
    <s v="BBM103"/>
    <s v="Nesten beschermen op grasland in combinatie met plas-dras/kruidenrijk grasland"/>
    <n v="2.1143000000000001"/>
    <x v="3"/>
    <m/>
    <s v="bio"/>
    <s v="veen"/>
    <n v="2.7200474403057879"/>
    <n v="2.7200474403057879"/>
    <n v="2.7200474403057879"/>
  </r>
  <r>
    <s v="BBM103"/>
    <s v="Nesten beschermen op grasland in combinatie met plas-dras/kruidenrijk grasland"/>
    <n v="2.5322"/>
    <x v="3"/>
    <m/>
    <s v="bio"/>
    <s v="veen"/>
    <n v="3.2576758872167226"/>
    <n v="3.2576758872167226"/>
    <n v="3.2576758872167226"/>
  </r>
  <r>
    <s v="BBM103"/>
    <s v="Nesten beschermen op grasland in combinatie met plas-dras/kruidenrijk grasland"/>
    <n v="1.169"/>
    <x v="3"/>
    <m/>
    <s v="bio"/>
    <s v="veen"/>
    <n v="1.5039187710908888"/>
    <n v="1.5039187710908888"/>
    <n v="1.5039187710908888"/>
  </r>
  <r>
    <s v="BBM103"/>
    <s v="Nesten beschermen op grasland in combinatie met plas-dras/kruidenrijk grasland"/>
    <n v="1.8391"/>
    <x v="3"/>
    <m/>
    <s v="bio"/>
    <s v="veen"/>
    <n v="2.3660025764869577"/>
    <n v="2.3660025764869577"/>
    <n v="2.3660025764869577"/>
  </r>
  <r>
    <s v="BBM103"/>
    <s v="Nesten beschermen op grasland in combinatie met plas-dras/kruidenrijk grasland"/>
    <n v="1.6316999999999999"/>
    <x v="3"/>
    <m/>
    <s v="bio"/>
    <s v="veen"/>
    <n v="2.0991824283909351"/>
    <n v="2.0991824283909351"/>
    <n v="2.0991824283909351"/>
  </r>
  <r>
    <s v="KRGL"/>
    <s v="1 april tot 15 juni"/>
    <n v="0.25910483189439798"/>
    <x v="3"/>
    <m/>
    <s v="bio"/>
    <s v="veen"/>
    <m/>
    <m/>
    <m/>
  </r>
  <r>
    <s v="BBM103"/>
    <s v="Nesten beschermen op grasland in combinatie met plas-dras/kruidenrijk grasland"/>
    <n v="0.9526"/>
    <x v="3"/>
    <m/>
    <s v="bio"/>
    <s v="veen"/>
    <n v="1.225520120907768"/>
    <n v="1.225520120907768"/>
    <n v="1.225520120907768"/>
  </r>
  <r>
    <s v="BBM103"/>
    <s v="Nesten beschermen op grasland in combinatie met plas-dras/kruidenrijk grasland"/>
    <n v="0.41582918479231901"/>
    <x v="3"/>
    <m/>
    <s v="bio"/>
    <s v="veen"/>
    <n v="0.53496434266603121"/>
    <n v="0.53496434266603121"/>
    <n v="0.53496434266603121"/>
  </r>
  <r>
    <s v="BBM103"/>
    <s v="Nesten beschermen op grasland in combinatie met plas-dras/kruidenrijk grasland"/>
    <n v="1.16128624995095"/>
    <x v="3"/>
    <m/>
    <s v="bio"/>
    <s v="veen"/>
    <n v="1.4939950298639686"/>
    <n v="1.4939950298639686"/>
    <n v="1.4939950298639686"/>
  </r>
  <r>
    <s v="BBM108"/>
    <s v="15 februari tot 15 juni, minstens 5 cm"/>
    <n v="0.1963"/>
    <x v="3"/>
    <m/>
    <s v="bio"/>
    <s v="veen"/>
    <n v="8.2457490364162677E-3"/>
    <n v="8.2457490364162677E-3"/>
    <n v="8.2457490364162677E-3"/>
  </r>
  <r>
    <s v="BBM108"/>
    <s v="15 februari tot 15 juni, minstens 5 cm"/>
    <n v="9.6337497965352903E-2"/>
    <x v="3"/>
    <m/>
    <s v="bio"/>
    <s v="veen"/>
    <n v="4.0467388233243144E-3"/>
    <n v="4.0467388233243144E-3"/>
    <n v="4.0467388233243144E-3"/>
  </r>
  <r>
    <s v="BBM103"/>
    <s v="Nesten beschermen op grasland in combinatie met plas-dras/kruidenrijk grasland"/>
    <n v="2.0528517982283101"/>
    <x v="3"/>
    <m/>
    <s v="bio"/>
    <s v="veen"/>
    <n v="2.6409943144766821"/>
    <n v="2.6409943144766821"/>
    <n v="2.6409943144766821"/>
  </r>
  <r>
    <s v="KRGL"/>
    <s v="1 april tot 15 juni"/>
    <n v="0.25713142813221901"/>
    <x v="3"/>
    <m/>
    <s v="bio"/>
    <s v="veen"/>
    <m/>
    <m/>
    <m/>
  </r>
  <r>
    <s v="KRGL"/>
    <s v="1 april tot 15 juni"/>
    <n v="0.26017232275149699"/>
    <x v="3"/>
    <m/>
    <s v="bio"/>
    <s v="veen"/>
    <m/>
    <m/>
    <m/>
  </r>
  <r>
    <s v="KRGL"/>
    <s v="1 april tot 15 juni"/>
    <n v="0.25925106224298999"/>
    <x v="3"/>
    <m/>
    <s v="bio"/>
    <s v="veen"/>
    <m/>
    <m/>
    <m/>
  </r>
  <r>
    <s v="KRGL"/>
    <s v="1 april tot 15 juni"/>
    <n v="0.26371413648969"/>
    <x v="3"/>
    <m/>
    <s v="bio"/>
    <s v="veen"/>
    <m/>
    <m/>
    <m/>
  </r>
  <r>
    <s v="KRGL"/>
    <s v="1 april tot 15 juni"/>
    <n v="0.261179794598913"/>
    <x v="3"/>
    <m/>
    <s v="bio"/>
    <s v="veen"/>
    <m/>
    <m/>
    <m/>
  </r>
  <r>
    <s v="KRGL"/>
    <s v="1 april tot 15 juni"/>
    <n v="0.25900777997924301"/>
    <x v="3"/>
    <m/>
    <s v="bio"/>
    <s v="veen"/>
    <m/>
    <m/>
    <m/>
  </r>
  <r>
    <s v="KRGL"/>
    <s v="1 april tot 15 juni"/>
    <n v="0.255144880942684"/>
    <x v="3"/>
    <m/>
    <s v="bio"/>
    <s v="veen"/>
    <m/>
    <m/>
    <m/>
  </r>
  <r>
    <s v="KRGL"/>
    <s v="1 april tot 15 juni"/>
    <n v="0.261459363791609"/>
    <x v="3"/>
    <m/>
    <s v="bio"/>
    <s v="veen"/>
    <m/>
    <m/>
    <m/>
  </r>
  <r>
    <s v="KRGL"/>
    <s v="1 april tot 15 juni"/>
    <n v="0.26225030320689502"/>
    <x v="3"/>
    <m/>
    <s v="bio"/>
    <s v="veen"/>
    <m/>
    <m/>
    <m/>
  </r>
  <r>
    <s v="KRGL"/>
    <s v="1 april tot 15 juni"/>
    <n v="0.25690048834615098"/>
    <x v="3"/>
    <m/>
    <s v="bio"/>
    <s v="veen"/>
    <m/>
    <m/>
    <m/>
  </r>
  <r>
    <s v="KRGL"/>
    <s v="1 april tot 15 juni"/>
    <n v="0.26070971886356897"/>
    <x v="3"/>
    <m/>
    <s v="bio"/>
    <s v="veen"/>
    <m/>
    <m/>
    <m/>
  </r>
  <r>
    <s v="KRGL"/>
    <s v="1 april tot 15 juni"/>
    <n v="0.28294146336869103"/>
    <x v="3"/>
    <m/>
    <s v="bio"/>
    <s v="veen"/>
    <m/>
    <m/>
    <m/>
  </r>
  <r>
    <s v="KRGL"/>
    <s v="1 april tot 15 juni"/>
    <n v="0.25796036443850501"/>
    <x v="3"/>
    <m/>
    <s v="bio"/>
    <s v="veen"/>
    <m/>
    <m/>
    <m/>
  </r>
  <r>
    <s v="KRGL"/>
    <s v="1 april tot 15 juni"/>
    <n v="0.25934410488120302"/>
    <x v="3"/>
    <m/>
    <s v="bio"/>
    <s v="veen"/>
    <m/>
    <m/>
    <m/>
  </r>
  <r>
    <s v="BBM107"/>
    <s v="ruige mest"/>
    <n v="0.25934410488120302"/>
    <x v="3"/>
    <m/>
    <s v="bio"/>
    <s v="veen"/>
    <n v="2.3973786143799535E-2"/>
    <n v="2.3973786143799535E-2"/>
    <n v="2.3973786143799535E-2"/>
  </r>
  <r>
    <s v="BBM107"/>
    <s v="ruige mest"/>
    <n v="0.25796036443850501"/>
    <x v="3"/>
    <m/>
    <s v="bio"/>
    <s v="veen"/>
    <n v="2.3845873086099749E-2"/>
    <n v="2.3845873086099749E-2"/>
    <n v="2.3845873086099749E-2"/>
  </r>
  <r>
    <s v="BBM107"/>
    <s v="ruige mest"/>
    <n v="0.25910483189439798"/>
    <x v="3"/>
    <m/>
    <s v="bio"/>
    <s v="veen"/>
    <n v="2.3951667733133213E-2"/>
    <n v="2.3951667733133213E-2"/>
    <n v="2.3951667733133213E-2"/>
  </r>
  <r>
    <s v="BBM107"/>
    <s v="ruige mest"/>
    <n v="0.25713142813221901"/>
    <x v="3"/>
    <m/>
    <s v="bio"/>
    <s v="veen"/>
    <n v="2.3769246159326785E-2"/>
    <n v="2.3769246159326785E-2"/>
    <n v="2.3769246159326785E-2"/>
  </r>
  <r>
    <s v="BBM107"/>
    <s v="ruige mest"/>
    <n v="0.26017232275149699"/>
    <x v="3"/>
    <m/>
    <s v="bio"/>
    <s v="veen"/>
    <n v="2.4050346658302055E-2"/>
    <n v="2.4050346658302055E-2"/>
    <n v="2.4050346658302055E-2"/>
  </r>
  <r>
    <s v="BBM107"/>
    <s v="ruige mest"/>
    <n v="0.25925106224298999"/>
    <x v="3"/>
    <m/>
    <s v="bio"/>
    <s v="veen"/>
    <n v="2.3965185276192402E-2"/>
    <n v="2.3965185276192402E-2"/>
    <n v="2.3965185276192402E-2"/>
  </r>
  <r>
    <s v="BBM107"/>
    <s v="ruige mest"/>
    <n v="0.26371413648969"/>
    <x v="3"/>
    <m/>
    <s v="bio"/>
    <s v="veen"/>
    <n v="2.4377752153636162E-2"/>
    <n v="2.4377752153636162E-2"/>
    <n v="2.4377752153636162E-2"/>
  </r>
  <r>
    <s v="BBM107"/>
    <s v="ruige mest"/>
    <n v="0.261179794598913"/>
    <x v="3"/>
    <m/>
    <s v="bio"/>
    <s v="veen"/>
    <n v="2.4143477422261059E-2"/>
    <n v="2.4143477422261059E-2"/>
    <n v="2.4143477422261059E-2"/>
  </r>
  <r>
    <s v="BBM107"/>
    <s v="ruige mest"/>
    <n v="0.25900777997924301"/>
    <x v="3"/>
    <m/>
    <s v="bio"/>
    <s v="veen"/>
    <n v="2.3942696247701387E-2"/>
    <n v="2.3942696247701387E-2"/>
    <n v="2.3942696247701387E-2"/>
  </r>
  <r>
    <s v="BBM107"/>
    <s v="ruige mest"/>
    <n v="0.25514488103862398"/>
    <x v="3"/>
    <m/>
    <s v="bio"/>
    <s v="veen"/>
    <n v="2.3585609615098226E-2"/>
    <n v="2.3585609615098226E-2"/>
    <n v="2.3585609615098226E-2"/>
  </r>
  <r>
    <s v="BBM107"/>
    <s v="ruige mest"/>
    <n v="0.261459363791609"/>
    <x v="3"/>
    <m/>
    <s v="bio"/>
    <s v="veen"/>
    <n v="2.4169320816855119E-2"/>
    <n v="2.4169320816855119E-2"/>
    <n v="2.4169320816855119E-2"/>
  </r>
  <r>
    <s v="BBM107"/>
    <s v="ruige mest"/>
    <n v="0.26225030320689502"/>
    <x v="3"/>
    <m/>
    <s v="bio"/>
    <s v="veen"/>
    <n v="2.4242435308520372E-2"/>
    <n v="2.4242435308520372E-2"/>
    <n v="2.4242435308520372E-2"/>
  </r>
  <r>
    <s v="BBM107"/>
    <s v="ruige mest"/>
    <n v="0.25690048834615098"/>
    <x v="3"/>
    <m/>
    <s v="bio"/>
    <s v="veen"/>
    <n v="2.374789807028568E-2"/>
    <n v="2.374789807028568E-2"/>
    <n v="2.374789807028568E-2"/>
  </r>
  <r>
    <s v="BBM107"/>
    <s v="ruige mest"/>
    <n v="0.26070971886356897"/>
    <x v="3"/>
    <m/>
    <s v="bio"/>
    <s v="veen"/>
    <n v="2.4100023590311846E-2"/>
    <n v="2.4100023590311846E-2"/>
    <n v="2.4100023590311846E-2"/>
  </r>
  <r>
    <s v="BBM103"/>
    <s v="Nesten beschermen op grasland in combinatie met plas-dras/kruidenrijk grasland"/>
    <n v="1.08956353400254"/>
    <x v="3"/>
    <m/>
    <s v="bio"/>
    <s v="veen"/>
    <n v="1.4017237391638544"/>
    <n v="1.4017237391638544"/>
    <n v="1.4017237391638544"/>
  </r>
  <r>
    <s v="BBM103"/>
    <s v="Nesten beschermen op grasland in combinatie met plas-dras/kruidenrijk grasland"/>
    <n v="1.0087107849744501"/>
    <x v="3"/>
    <m/>
    <s v="bio"/>
    <s v="veen"/>
    <n v="1.2977066587894788"/>
    <n v="1.2977066587894788"/>
    <n v="1.2977066587894788"/>
  </r>
  <r>
    <s v="BBM103"/>
    <s v="Nesten beschermen op grasland in combinatie met plas-dras/kruidenrijk grasland"/>
    <n v="1.63665842339319"/>
    <x v="3"/>
    <m/>
    <s v="bio"/>
    <s v="veen"/>
    <n v="2.1055614412361314"/>
    <n v="2.1055614412361314"/>
    <n v="2.1055614412361314"/>
  </r>
  <r>
    <s v="BBM107"/>
    <s v="ruige mest"/>
    <n v="0.28294146336869103"/>
    <x v="3"/>
    <m/>
    <s v="bio"/>
    <s v="veen"/>
    <n v="2.6155127517249094E-2"/>
    <n v="2.6155127517249094E-2"/>
    <n v="2.6155127517249094E-2"/>
  </r>
  <r>
    <s v="BBM103"/>
    <s v="Nesten beschermen op grasland in combinatie met plas-dras/kruidenrijk grasland"/>
    <n v="3.7515064150058"/>
    <x v="3"/>
    <m/>
    <s v="bio"/>
    <s v="veen"/>
    <n v="4.8263138728786217"/>
    <n v="4.8263138728786217"/>
    <n v="4.8263138728786217"/>
  </r>
  <r>
    <s v="KRGL"/>
    <s v="Botanisch grasland"/>
    <n v="2.9043000000000001"/>
    <x v="3"/>
    <s v="1TBO"/>
    <s v="bio"/>
    <s v="veen"/>
    <m/>
    <m/>
    <m/>
  </r>
  <r>
    <s v="KRGL"/>
    <s v="Botanisch grasland"/>
    <n v="1.5055000000000001"/>
    <x v="3"/>
    <s v="1TBO"/>
    <s v="bio"/>
    <s v="veen"/>
    <m/>
    <m/>
    <m/>
  </r>
  <r>
    <s v="KRGL"/>
    <s v="Botanisch grasland"/>
    <n v="5.1022999999999996"/>
    <x v="3"/>
    <s v="1TBO"/>
    <s v="bio"/>
    <s v="veen"/>
    <m/>
    <m/>
    <m/>
  </r>
  <r>
    <s v="KRGL"/>
    <s v="Botanisch grasland"/>
    <n v="0.78400000000000003"/>
    <x v="3"/>
    <s v="1TBO"/>
    <s v="bio"/>
    <s v="veen"/>
    <m/>
    <m/>
    <m/>
  </r>
  <r>
    <s v="BBM106"/>
    <s v="Extensief beweid grasland"/>
    <n v="1.1513"/>
    <x v="3"/>
    <s v="1TBO"/>
    <s v="bio"/>
    <s v="veen"/>
    <n v="0.36681150462999984"/>
    <n v="0.36681150462999984"/>
    <n v="0.36681150462999984"/>
  </r>
  <r>
    <s v="BBM106"/>
    <s v="Extensief beweid grasland"/>
    <n v="0.42559999999999998"/>
    <x v="3"/>
    <s v="1TBO"/>
    <s v="bio"/>
    <s v="veen"/>
    <n v="0.13559886768915827"/>
    <n v="0.13559886768915827"/>
    <n v="0.13559886768915827"/>
  </r>
  <r>
    <s v="BBM106"/>
    <s v="Extensief beweid grasland"/>
    <n v="0.38779999999999998"/>
    <x v="3"/>
    <s v="1TBO"/>
    <s v="bio"/>
    <s v="veen"/>
    <n v="0.12355554720360803"/>
    <n v="0.12355554720360803"/>
    <n v="0.12355554720360803"/>
  </r>
  <r>
    <s v="BBM106"/>
    <s v="Extensief beweid grasland"/>
    <n v="2.1501000000000001"/>
    <x v="3"/>
    <s v="1TBO"/>
    <s v="bio"/>
    <s v="veen"/>
    <n v="0.68503553904713166"/>
    <n v="0.68503553904713166"/>
    <n v="0.68503553904713166"/>
  </r>
  <r>
    <s v="BBM106"/>
    <s v="Extensief beweid grasland"/>
    <n v="0.97860000000000003"/>
    <x v="3"/>
    <s v="1TBO"/>
    <s v="bio"/>
    <s v="veen"/>
    <n v="0.31178818590368962"/>
    <n v="0.31178818590368962"/>
    <n v="0.31178818590368962"/>
  </r>
  <r>
    <s v="BBM106"/>
    <s v="Extensief beweid grasland"/>
    <n v="0.46960000000000002"/>
    <x v="3"/>
    <s v="1TBO"/>
    <s v="bio"/>
    <s v="veen"/>
    <n v="0.14961754761942841"/>
    <n v="0.14961754761942841"/>
    <n v="0.14961754761942841"/>
  </r>
  <r>
    <s v="BBM106"/>
    <s v="Extensief beweid grasland"/>
    <n v="2.028"/>
    <x v="3"/>
    <s v="1TBO"/>
    <s v="bio"/>
    <s v="veen"/>
    <n v="0.64613370224063205"/>
    <n v="0.64613370224063205"/>
    <n v="0.64613370224063205"/>
  </r>
  <r>
    <s v="KRGL"/>
    <s v="Botanisch grasland"/>
    <n v="0.87319999999999998"/>
    <x v="3"/>
    <s v="1TBO"/>
    <s v="bio"/>
    <s v="veen"/>
    <m/>
    <m/>
    <m/>
  </r>
  <r>
    <s v="KRGL"/>
    <s v="Botanisch grasland"/>
    <n v="1.0629999999999999"/>
    <x v="3"/>
    <s v="1TBO"/>
    <s v="bio"/>
    <s v="veen"/>
    <m/>
    <m/>
    <m/>
  </r>
  <r>
    <s v="BBM121"/>
    <s v="Beheer van bomenrijen"/>
    <n v="2.7400000000000001E-2"/>
    <x v="3"/>
    <m/>
    <s v="bio"/>
    <s v="veen"/>
    <n v="0.34235210389111909"/>
    <n v="0.68500000000000005"/>
    <n v="0.68500000000000005"/>
  </r>
  <r>
    <s v="BBM126"/>
    <s v="Half- en hoogstamboomgaard"/>
    <n v="7.2099999999999997E-2"/>
    <x v="3"/>
    <m/>
    <s v="bio"/>
    <s v="veen"/>
    <n v="0.18024999999999999"/>
    <n v="1.8025"/>
    <n v="0.36049999999999999"/>
  </r>
  <r>
    <s v="BBM122"/>
    <s v="Knip- en scheerheg"/>
    <n v="5.4000000000000003E-3"/>
    <x v="3"/>
    <m/>
    <s v="bio"/>
    <s v="veen"/>
    <n v="1.349417051833608E-2"/>
    <n v="0.13500000000000001"/>
    <n v="2.7000000000000003E-2"/>
  </r>
  <r>
    <s v="BBM122"/>
    <s v="Knip- en scheerheg"/>
    <n v="4.7000000000000002E-3"/>
    <x v="3"/>
    <m/>
    <s v="bio"/>
    <s v="veen"/>
    <n v="1.1744926191885106E-2"/>
    <n v="0.11750000000000001"/>
    <n v="2.35E-2"/>
  </r>
  <r>
    <s v="BBM121"/>
    <s v="Beheer van bomenrijen"/>
    <n v="1.3100000000000001E-2"/>
    <x v="3"/>
    <m/>
    <s v="bio"/>
    <s v="veen"/>
    <n v="0.16367929054648395"/>
    <n v="0.32750000000000001"/>
    <n v="0.32750000000000001"/>
  </r>
  <r>
    <s v="BBM220"/>
    <s v="Nestgelegenheid en beplanting erfvogels"/>
    <n v="1"/>
    <x v="3"/>
    <m/>
    <s v="bio"/>
    <s v="veen"/>
    <n v="0.1"/>
    <n v="0.1"/>
    <n v="0.1"/>
  </r>
  <r>
    <s v="BBM220"/>
    <s v="Nestgelegenheid en beplanting erfvogels"/>
    <n v="1"/>
    <x v="3"/>
    <m/>
    <s v="bio"/>
    <s v="veen"/>
    <n v="0.1"/>
    <n v="0.1"/>
    <n v="0.1"/>
  </r>
  <r>
    <s v="BBM126"/>
    <s v="Half- en hoogstamboomgaard"/>
    <n v="0.20100000000000001"/>
    <x v="3"/>
    <m/>
    <s v="bio"/>
    <s v="veen"/>
    <n v="0.50250000000000006"/>
    <n v="5.0250000000000004"/>
    <n v="1.0050000000000001"/>
  </r>
  <r>
    <s v="BBM102"/>
    <s v="rust 1 mei tot 1 augustus, 2 weken"/>
    <n v="0.52869595711101203"/>
    <x v="3"/>
    <m/>
    <s v="bio"/>
    <s v="veen"/>
    <n v="0.27467635048461025"/>
    <n v="0.27467635048461025"/>
    <n v="0.27467635048461025"/>
  </r>
  <r>
    <s v="BBM102"/>
    <s v="rust 1 mei tot 1 augustus, 3 weken"/>
    <n v="0.461810644123894"/>
    <x v="3"/>
    <m/>
    <s v="bio"/>
    <s v="veen"/>
    <n v="0.23992705190341287"/>
    <n v="0.23992705190341287"/>
    <n v="0.23992705190341287"/>
  </r>
  <r>
    <s v="BBM102"/>
    <s v="rust van 1 april tot 1 juni"/>
    <n v="2.0196845737407498"/>
    <x v="4"/>
    <m/>
    <s v="gangbaar"/>
    <s v="klei op veen"/>
    <n v="1.0492979573299257"/>
    <n v="1.0492979573299257"/>
    <n v="1.0492979573299257"/>
  </r>
  <r>
    <s v="BBM102"/>
    <s v="Kuikenvelden"/>
    <n v="2.4497"/>
    <x v="4"/>
    <m/>
    <s v="gangbaar"/>
    <s v="klei op veen"/>
    <n v="1.2727062628944297"/>
    <n v="1.2727062628944297"/>
    <n v="1.2727062628944297"/>
  </r>
  <r>
    <s v="BBM102"/>
    <s v="Kuikenvelden"/>
    <n v="3.7475999999999998"/>
    <x v="4"/>
    <m/>
    <s v="gangbaar"/>
    <s v="klei op veen"/>
    <n v="1.947011467046236"/>
    <n v="1.947011467046236"/>
    <n v="1.947011467046236"/>
  </r>
  <r>
    <s v="BBM103"/>
    <s v="(Greppel-) Plas-dras"/>
    <n v="8.0299999999999996E-2"/>
    <x v="4"/>
    <m/>
    <s v="gangbaar"/>
    <s v="klei op veen"/>
    <n v="0.10330596862155549"/>
    <n v="0.10330596862155549"/>
    <n v="0.10330596862155549"/>
  </r>
  <r>
    <s v="KRGL"/>
    <s v="Botanisch grasland"/>
    <n v="2.1301000000000001"/>
    <x v="4"/>
    <m/>
    <s v="gangbaar"/>
    <s v="klei op veen"/>
    <m/>
    <m/>
    <m/>
  </r>
  <r>
    <s v="KRGL"/>
    <s v="Botanisch grasland"/>
    <n v="1.1579999999999999"/>
    <x v="4"/>
    <m/>
    <s v="gangbaar"/>
    <s v="klei op veen"/>
    <m/>
    <m/>
    <m/>
  </r>
  <r>
    <s v="KRGL"/>
    <s v="Botanisch grasland"/>
    <n v="9.2799999999999994E-2"/>
    <x v="4"/>
    <m/>
    <s v="gangbaar"/>
    <s v="klei op veen"/>
    <m/>
    <m/>
    <m/>
  </r>
  <r>
    <s v="KRGL"/>
    <s v="Botanisch grasland"/>
    <n v="7.5899999999999995E-2"/>
    <x v="4"/>
    <m/>
    <s v="gangbaar"/>
    <s v="klei op veen"/>
    <m/>
    <m/>
    <m/>
  </r>
  <r>
    <s v="KRGL"/>
    <s v="Botanisch grasland"/>
    <n v="0.64590000000000003"/>
    <x v="4"/>
    <m/>
    <s v="gangbaar"/>
    <s v="klei op veen"/>
    <m/>
    <m/>
    <m/>
  </r>
  <r>
    <s v="BBM220"/>
    <s v="Nestgelegenheid en beplanting erfvogels"/>
    <n v="1"/>
    <x v="4"/>
    <m/>
    <s v="gangbaar"/>
    <s v="klei op veen"/>
    <n v="0.1"/>
    <n v="0.1"/>
    <n v="0.1"/>
  </r>
  <r>
    <s v="BBM220"/>
    <s v="Nestgelegenheid en beplanting erfvogels"/>
    <n v="1"/>
    <x v="4"/>
    <m/>
    <s v="gangbaar"/>
    <s v="klei op veen"/>
    <n v="0.1"/>
    <n v="0.1"/>
    <n v="0.1"/>
  </r>
  <r>
    <s v="BBM220"/>
    <s v="Nestgelegenheid en beplanting erfvogels"/>
    <n v="1"/>
    <x v="4"/>
    <m/>
    <s v="gangbaar"/>
    <s v="klei op veen"/>
    <n v="0.1"/>
    <n v="0.1"/>
    <n v="0.1"/>
  </r>
  <r>
    <s v="BBM220"/>
    <s v="Nestgelegenheid en beplanting erfvogels"/>
    <n v="1"/>
    <x v="4"/>
    <m/>
    <s v="gangbaar"/>
    <s v="klei op veen"/>
    <n v="0.1"/>
    <n v="0.1"/>
    <n v="0.1"/>
  </r>
  <r>
    <s v="BBM220"/>
    <s v="Nestgelegenheid en beplanting erfvogels"/>
    <n v="1"/>
    <x v="4"/>
    <m/>
    <s v="gangbaar"/>
    <s v="klei op veen"/>
    <n v="0.1"/>
    <n v="0.1"/>
    <n v="0.1"/>
  </r>
  <r>
    <s v="BBM126"/>
    <s v="Half- en hoogstamboomgaard"/>
    <n v="0.11509999999999999"/>
    <x v="4"/>
    <m/>
    <s v="gangbaar"/>
    <s v="klei op veen"/>
    <n v="0.28775000000000001"/>
    <n v="2.8774999999999999"/>
    <n v="0.57550000000000001"/>
  </r>
  <r>
    <s v="BBM230"/>
    <s v="Leibomen bij historische boerderij"/>
    <n v="1"/>
    <x v="4"/>
    <m/>
    <s v="gangbaar"/>
    <s v="klei op veen"/>
    <n v="0.1"/>
    <n v="0.1"/>
    <n v="0.1"/>
  </r>
  <r>
    <s v="BBM107"/>
    <s v="ruige mest"/>
    <n v="2.0196845737410598"/>
    <x v="4"/>
    <m/>
    <s v="gangbaar"/>
    <s v="klei op veen"/>
    <n v="0.18669977507674007"/>
    <n v="0.18669977507674007"/>
    <n v="0.18669977507674007"/>
  </r>
  <r>
    <s v="BBM104"/>
    <s v="Legselbeheer"/>
    <n v="2.5737000000000001"/>
    <x v="5"/>
    <m/>
    <s v="gangbaar"/>
    <s v="zand"/>
    <n v="8.6898614198666194E-2"/>
    <n v="8.6898614198666194E-2"/>
    <n v="8.6898614198666194E-2"/>
  </r>
  <r>
    <s v="BBM104"/>
    <s v="Legselbeheer"/>
    <n v="2.2993999999999999"/>
    <x v="5"/>
    <m/>
    <s v="gangbaar"/>
    <s v="zand"/>
    <n v="7.7637126894514907E-2"/>
    <n v="7.7637126894514907E-2"/>
    <n v="7.7637126894514907E-2"/>
  </r>
  <r>
    <s v="BBM104"/>
    <s v="Legselbeheer"/>
    <n v="3.0076000000000001"/>
    <x v="5"/>
    <m/>
    <s v="gangbaar"/>
    <s v="zand"/>
    <n v="0.10154884876400064"/>
    <n v="0.10154884876400064"/>
    <n v="0.10154884876400064"/>
  </r>
  <r>
    <s v="BBM121"/>
    <s v="Beheer van bomenrijen"/>
    <n v="5.0000000000000001E-3"/>
    <x v="5"/>
    <m/>
    <s v="gangbaar"/>
    <s v="zand"/>
    <n v="6.2473011658963337E-2"/>
    <n v="0.125"/>
    <n v="0.125"/>
  </r>
  <r>
    <s v="BBM146"/>
    <s v="Solitaire boom op landbouwgrond"/>
    <n v="1E-4"/>
    <x v="5"/>
    <m/>
    <s v="gangbaar"/>
    <s v="zand"/>
    <n v="1.2494602331792667E-3"/>
    <n v="2.5000000000000001E-3"/>
    <n v="2.5000000000000001E-3"/>
  </r>
  <r>
    <s v="BBM146"/>
    <s v="Solitaire boom op landbouwgrond"/>
    <n v="1E-4"/>
    <x v="5"/>
    <m/>
    <s v="gangbaar"/>
    <s v="zand"/>
    <n v="1.2494602331792667E-3"/>
    <n v="2.5000000000000001E-3"/>
    <n v="2.5000000000000001E-3"/>
  </r>
  <r>
    <s v="BBM146"/>
    <s v="Solitaire boom op landbouwgrond"/>
    <n v="2.0000000000000001E-4"/>
    <x v="5"/>
    <m/>
    <s v="gangbaar"/>
    <s v="zand"/>
    <n v="2.4989204663585333E-3"/>
    <n v="5.0000000000000001E-3"/>
    <n v="5.0000000000000001E-3"/>
  </r>
  <r>
    <s v="BBM146"/>
    <s v="Solitaire boom op landbouwgrond"/>
    <n v="1.6999999999999999E-3"/>
    <x v="5"/>
    <m/>
    <s v="gangbaar"/>
    <s v="zand"/>
    <n v="2.1240823964047532E-2"/>
    <n v="4.2499999999999996E-2"/>
    <n v="4.2499999999999996E-2"/>
  </r>
  <r>
    <s v="BBM129"/>
    <s v="Bosje"/>
    <n v="4.5900000000000003E-2"/>
    <x v="6"/>
    <m/>
    <s v="gangbaar"/>
    <s v="zand"/>
    <n v="0.11470044940585668"/>
    <n v="1.1475000000000002"/>
    <n v="0.22950000000000001"/>
  </r>
  <r>
    <s v="BBM121"/>
    <s v="Beheer van bomenrijen"/>
    <n v="1.5E-3"/>
    <x v="6"/>
    <m/>
    <s v="gangbaar"/>
    <s v="zand"/>
    <n v="1.8741903497689002E-2"/>
    <n v="3.7499999999999999E-2"/>
    <n v="3.7499999999999999E-2"/>
  </r>
  <r>
    <s v="BBM121"/>
    <s v="Beheer van bomenrijen"/>
    <n v="1.4E-3"/>
    <x v="6"/>
    <m/>
    <s v="gangbaar"/>
    <s v="zand"/>
    <n v="1.7492443264509733E-2"/>
    <n v="3.4999999999999996E-2"/>
    <n v="3.4999999999999996E-2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122"/>
    <s v="Knip- en scheerheg"/>
    <n v="4.4000000000000003E-3"/>
    <x v="6"/>
    <m/>
    <s v="gangbaar"/>
    <s v="zand"/>
    <n v="1.0995250051977547E-2"/>
    <n v="0.11"/>
    <n v="2.2000000000000002E-2"/>
  </r>
  <r>
    <s v="BBM121"/>
    <s v="Beheer van bomenrijen"/>
    <n v="1E-3"/>
    <x v="6"/>
    <m/>
    <s v="gangbaar"/>
    <s v="zand"/>
    <n v="1.2494602331792667E-2"/>
    <n v="2.5000000000000001E-2"/>
    <n v="2.5000000000000001E-2"/>
  </r>
  <r>
    <s v="BBM121"/>
    <s v="Beheer van bomenrijen"/>
    <n v="1E-3"/>
    <x v="6"/>
    <m/>
    <s v="gangbaar"/>
    <s v="zand"/>
    <n v="1.2494602331792667E-2"/>
    <n v="2.5000000000000001E-2"/>
    <n v="2.5000000000000001E-2"/>
  </r>
  <r>
    <s v="BBM121"/>
    <s v="Beheer van bomenrijen"/>
    <n v="1.1000000000000001E-3"/>
    <x v="6"/>
    <m/>
    <s v="gangbaar"/>
    <s v="zand"/>
    <n v="1.3744062564971933E-2"/>
    <n v="2.75E-2"/>
    <n v="2.75E-2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102"/>
    <s v="Kuikenvelden"/>
    <n v="0.1729"/>
    <x v="6"/>
    <m/>
    <s v="gangbaar"/>
    <s v="zand"/>
    <n v="8.982769843427639E-2"/>
    <n v="8.982769843427639E-2"/>
    <n v="8.982769843427639E-2"/>
  </r>
  <r>
    <s v="KRGL"/>
    <s v="botanisch hooiland: beoordeling beperkt/matig"/>
    <n v="0.130157841313641"/>
    <x v="7"/>
    <m/>
    <s v="bio"/>
    <s v="zand"/>
    <m/>
    <m/>
    <m/>
  </r>
  <r>
    <s v="KRGL"/>
    <s v="zand"/>
    <n v="0.48845315599227301"/>
    <x v="7"/>
    <m/>
    <s v="bio"/>
    <s v="zand"/>
    <m/>
    <m/>
    <m/>
  </r>
  <r>
    <s v="KRGL"/>
    <s v="botanisch hooiland: beoordeling beperkt/matig"/>
    <n v="0.42624708435631398"/>
    <x v="7"/>
    <m/>
    <s v="bio"/>
    <s v="zand"/>
    <m/>
    <m/>
    <m/>
  </r>
  <r>
    <s v="KRGL"/>
    <s v="botanisch hooiland: beoordeling beperkt/matig"/>
    <n v="9.5998875286523802E-2"/>
    <x v="7"/>
    <m/>
    <s v="bio"/>
    <s v="zand"/>
    <m/>
    <m/>
    <m/>
  </r>
  <r>
    <s v="KRGL"/>
    <s v="botanisch hooiland: beoordeling beperkt/matig"/>
    <n v="3.8657237516205499E-2"/>
    <x v="7"/>
    <m/>
    <s v="bio"/>
    <s v="zand"/>
    <m/>
    <m/>
    <m/>
  </r>
  <r>
    <s v="KRGL"/>
    <s v="botanisch hooiland: beoordeling beperkt/matig"/>
    <n v="0.114594693921113"/>
    <x v="7"/>
    <m/>
    <s v="bio"/>
    <s v="zand"/>
    <m/>
    <m/>
    <m/>
  </r>
  <r>
    <s v="KRGL"/>
    <s v="botanisch hooiland: beoordeling beperkt/matig"/>
    <n v="1.73162703384216"/>
    <x v="7"/>
    <m/>
    <s v="bio"/>
    <s v="zand"/>
    <m/>
    <m/>
    <m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  <r>
    <s v="BBM126"/>
    <s v="Half- en hoogstamboomgaard"/>
    <n v="1.78E-2"/>
    <x v="7"/>
    <m/>
    <s v="bio"/>
    <s v="zand"/>
    <n v="4.4499999999999998E-2"/>
    <n v="0.44500000000000001"/>
    <n v="8.8999999999999996E-2"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CA7A75-54D8-4238-9427-924F2294DA59}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6:B18" firstHeaderRow="1" firstDataRow="1" firstDataCol="1"/>
  <pivotFields count="8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Average of bedrijfsoppervlakte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D48F05-915D-4F9C-81C4-36955CFF33EA}" name="PivotTable9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20:G29" firstHeaderRow="0" firstDataRow="1" firstDataCol="1"/>
  <pivotFields count="10">
    <pivotField showAll="0"/>
    <pivotField showAll="0"/>
    <pivotField showAll="0"/>
    <pivotField axis="axisRow" showAll="0">
      <items count="9">
        <item x="2"/>
        <item x="4"/>
        <item x="5"/>
        <item x="6"/>
        <item x="7"/>
        <item x="0"/>
        <item x="3"/>
        <item x="1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Weging " fld="7" baseField="0" baseItem="0"/>
    <dataField name="Sum of Weging alt 1" fld="8" baseField="0" baseItem="0"/>
    <dataField name="Sum of Weging alt 2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C80B23-CE55-46E1-8578-DC6DDFFA439A}" name="PivotTable8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6:G18" firstHeaderRow="0" firstDataRow="1" firstDataCol="1"/>
  <pivotFields count="9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Weging" fld="6" baseField="0" baseItem="4"/>
    <dataField name="Sum of Weging alt 1" fld="7" baseField="0" baseItem="0"/>
    <dataField name="Sum of Weging alt 2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6755E4-47BF-4FEB-B4F3-A8A849AA3B9A}" name="Query1_256" displayName="Query1_256" ref="B1:I85" totalsRowShown="0">
  <autoFilter ref="B1:I85" xr:uid="{5BE9B55C-7708-4097-843D-E75F33BEA11E}"/>
  <tableColumns count="8">
    <tableColumn id="15" xr3:uid="{CAB964B8-F49A-44F1-9266-059EB895EAE4}" name="pcode" dataDxfId="4"/>
    <tableColumn id="16" xr3:uid="{CB488CEC-6C21-45EA-B5A1-E90E1F95E7FD}" name="Pakketnaam" dataDxfId="3"/>
    <tableColumn id="17" xr3:uid="{E87C224E-03AF-4841-8284-5F547DBC5938}" name="totaaloppervlaktepakket"/>
    <tableColumn id="19" xr3:uid="{81634417-1741-4D26-9B25-AE7D86BFBE67}" name="Schouw"/>
    <tableColumn id="20" xr3:uid="{4260C3CA-F45E-4F1C-810B-80D8B5E8F5A9}" name="bedrijfsoppervlakte"/>
    <tableColumn id="21" xr3:uid="{C598FDB0-19CD-450C-8EE2-5F1607350217}" name="Weging" dataDxfId="2">
      <calculatedColumnFormula>VLOOKUP(Query1_256[[#This Row],[pcode]],'Rekentool Natuur en landschap'!$A$40:$I$73,7,0)*Query1_256[[#This Row],[totaaloppervlaktepakket]]</calculatedColumnFormula>
    </tableColumn>
    <tableColumn id="3" xr3:uid="{B9C3EC04-D0FB-4104-BF8C-4049AD5102F2}" name="Weging alt 1" dataDxfId="1">
      <calculatedColumnFormula>VLOOKUP(Query1_256[[#This Row],[pcode]],'Rekentool Natuur en landschap'!$A$40:$I$73,8,0)*Query1_256[[#This Row],[totaaloppervlaktepakket]]</calculatedColumnFormula>
    </tableColumn>
    <tableColumn id="1" xr3:uid="{16DF1093-9AB1-4D8E-A0F7-DFBE47DA9ABE}" name="Weging alt 2" dataDxfId="0">
      <calculatedColumnFormula>VLOOKUP(Query1_256[[#This Row],[pcode]],'Rekentool Natuur en landschap'!$A$40:$I$73,9,0)*Query1_256[[#This Row],[totaaloppervlaktepakket]]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DFFD-D0B9-479E-B17D-B52FE00A90F7}">
  <dimension ref="A1:W104"/>
  <sheetViews>
    <sheetView tabSelected="1" topLeftCell="A41" zoomScale="80" zoomScaleNormal="80" workbookViewId="0">
      <selection activeCell="K70" sqref="K70"/>
    </sheetView>
  </sheetViews>
  <sheetFormatPr defaultColWidth="9.140625" defaultRowHeight="15" customHeight="1" x14ac:dyDescent="0.2"/>
  <cols>
    <col min="1" max="1" width="53.28515625" style="13" customWidth="1"/>
    <col min="2" max="2" width="22.140625" style="13" customWidth="1"/>
    <col min="3" max="3" width="24.140625" style="13" customWidth="1"/>
    <col min="4" max="4" width="31.42578125" style="13" hidden="1" customWidth="1"/>
    <col min="5" max="5" width="35.5703125" style="13" hidden="1" customWidth="1"/>
    <col min="6" max="6" width="11.42578125" style="13" hidden="1" customWidth="1"/>
    <col min="7" max="7" width="37.7109375" style="13" hidden="1" customWidth="1"/>
    <col min="8" max="8" width="23.42578125" style="13" customWidth="1"/>
    <col min="9" max="10" width="31.85546875" style="13" hidden="1" customWidth="1"/>
    <col min="11" max="11" width="17.140625" style="13" customWidth="1"/>
    <col min="12" max="12" width="25.42578125" style="13" customWidth="1"/>
    <col min="13" max="20" width="19.7109375" style="13" hidden="1" customWidth="1"/>
    <col min="21" max="21" width="25.42578125" style="30" customWidth="1"/>
    <col min="22" max="22" width="35.85546875" style="30" customWidth="1"/>
    <col min="23" max="16384" width="9.140625" style="13"/>
  </cols>
  <sheetData>
    <row r="1" spans="1:23" ht="87.75" customHeight="1" thickBot="1" x14ac:dyDescent="0.25">
      <c r="A1" s="199" t="s">
        <v>313</v>
      </c>
      <c r="B1" s="199"/>
      <c r="C1" s="199"/>
      <c r="D1" s="199"/>
      <c r="E1" s="199"/>
      <c r="F1" s="199"/>
      <c r="G1" s="199"/>
      <c r="H1" s="199"/>
      <c r="I1" s="199"/>
      <c r="J1" s="199"/>
      <c r="K1" s="138"/>
      <c r="L1" s="138"/>
      <c r="M1" s="138"/>
      <c r="N1" s="138"/>
      <c r="O1" s="138"/>
      <c r="P1" s="138"/>
      <c r="Q1" s="138"/>
      <c r="R1" s="138"/>
      <c r="S1" s="60"/>
      <c r="T1" s="60"/>
    </row>
    <row r="2" spans="1:23" ht="14.25" customHeight="1" thickBot="1" x14ac:dyDescent="0.25">
      <c r="A2" s="14" t="s">
        <v>0</v>
      </c>
      <c r="B2" s="188"/>
      <c r="C2" s="189"/>
      <c r="D2" s="189"/>
      <c r="E2" s="189"/>
      <c r="F2" s="189"/>
      <c r="G2" s="189"/>
      <c r="H2" s="190"/>
      <c r="I2" s="14"/>
      <c r="J2" s="14"/>
      <c r="L2" s="83"/>
      <c r="M2" s="125"/>
      <c r="N2" s="126"/>
      <c r="O2" s="127"/>
      <c r="P2" s="127"/>
      <c r="Q2" s="127"/>
      <c r="R2" s="127"/>
      <c r="S2" s="60"/>
      <c r="T2" s="60"/>
    </row>
    <row r="3" spans="1:23" thickBot="1" x14ac:dyDescent="0.25">
      <c r="A3" s="14" t="s">
        <v>1</v>
      </c>
      <c r="B3" s="188"/>
      <c r="C3" s="189"/>
      <c r="D3" s="189"/>
      <c r="E3" s="189"/>
      <c r="F3" s="189"/>
      <c r="G3" s="189"/>
      <c r="H3" s="190"/>
      <c r="K3" s="127"/>
      <c r="L3" s="127"/>
      <c r="M3" s="127"/>
      <c r="N3" s="128"/>
      <c r="O3" s="127"/>
      <c r="P3" s="127"/>
      <c r="Q3" s="127"/>
      <c r="R3" s="127"/>
      <c r="S3" s="117" t="s">
        <v>266</v>
      </c>
      <c r="T3" s="68">
        <f>IF(M26&gt;=1,1,0)</f>
        <v>0</v>
      </c>
    </row>
    <row r="4" spans="1:23" thickBot="1" x14ac:dyDescent="0.25">
      <c r="A4" s="14" t="s">
        <v>2</v>
      </c>
      <c r="B4" s="188"/>
      <c r="C4" s="189"/>
      <c r="D4" s="189"/>
      <c r="E4" s="189"/>
      <c r="F4" s="189"/>
      <c r="G4" s="189"/>
      <c r="H4" s="190"/>
      <c r="I4" s="14"/>
      <c r="K4" s="127"/>
      <c r="L4" s="127"/>
      <c r="M4" s="127"/>
      <c r="N4" s="128"/>
      <c r="O4" s="127"/>
      <c r="P4" s="127"/>
      <c r="Q4" s="127"/>
      <c r="R4" s="127"/>
    </row>
    <row r="5" spans="1:23" thickBot="1" x14ac:dyDescent="0.25">
      <c r="A5" s="14" t="s">
        <v>3</v>
      </c>
      <c r="B5" s="188"/>
      <c r="C5" s="189"/>
      <c r="D5" s="189"/>
      <c r="E5" s="189"/>
      <c r="F5" s="189"/>
      <c r="G5" s="189"/>
      <c r="H5" s="190"/>
      <c r="K5" s="127"/>
      <c r="L5" s="127"/>
      <c r="M5" s="127"/>
      <c r="N5" s="128"/>
      <c r="O5" s="127"/>
      <c r="P5" s="127"/>
      <c r="Q5" s="127"/>
      <c r="R5" s="127"/>
    </row>
    <row r="6" spans="1:23" thickBot="1" x14ac:dyDescent="0.25">
      <c r="A6" s="14" t="s">
        <v>4</v>
      </c>
      <c r="B6" s="188"/>
      <c r="C6" s="189"/>
      <c r="D6" s="189"/>
      <c r="E6" s="189"/>
      <c r="F6" s="189"/>
      <c r="G6" s="189"/>
      <c r="H6" s="190"/>
      <c r="I6" s="14"/>
      <c r="K6" s="127"/>
      <c r="L6" s="127"/>
      <c r="M6" s="127"/>
      <c r="N6" s="128"/>
      <c r="O6" s="127"/>
      <c r="P6" s="127"/>
      <c r="Q6" s="127"/>
      <c r="R6" s="127"/>
      <c r="S6" s="118" t="s">
        <v>262</v>
      </c>
      <c r="T6" s="64" t="s">
        <v>263</v>
      </c>
    </row>
    <row r="7" spans="1:23" thickBot="1" x14ac:dyDescent="0.25">
      <c r="A7" s="14"/>
      <c r="B7" s="14"/>
      <c r="C7" s="14"/>
      <c r="D7" s="14"/>
      <c r="E7" s="14"/>
      <c r="F7" s="14"/>
      <c r="G7" s="14"/>
      <c r="H7" s="14"/>
      <c r="K7" s="127"/>
      <c r="L7" s="127"/>
      <c r="M7" s="127"/>
      <c r="N7" s="128"/>
      <c r="O7" s="127"/>
      <c r="P7" s="127"/>
      <c r="Q7" s="127"/>
      <c r="R7" s="127"/>
      <c r="S7" s="119">
        <f>IF(B15&gt;=0.05,1,0)</f>
        <v>0</v>
      </c>
      <c r="T7" s="65">
        <f>IF(B15&gt;=0.1,1,0)</f>
        <v>0</v>
      </c>
    </row>
    <row r="8" spans="1:23" ht="15.75" customHeight="1" thickBot="1" x14ac:dyDescent="0.25">
      <c r="A8" s="14" t="s">
        <v>5</v>
      </c>
      <c r="B8" s="98"/>
      <c r="C8" s="97"/>
      <c r="F8" s="14"/>
      <c r="G8" s="14"/>
      <c r="H8" s="14"/>
      <c r="K8" s="127"/>
      <c r="L8" s="127"/>
      <c r="M8" s="127"/>
      <c r="N8" s="128"/>
      <c r="O8" s="127"/>
      <c r="P8" s="127"/>
      <c r="Q8" s="127"/>
      <c r="R8" s="127"/>
      <c r="S8" s="119">
        <f>IF(B15&gt;=0.05,1,0)</f>
        <v>0</v>
      </c>
      <c r="T8" s="65">
        <f>IF(B18&gt;=0.05,1,0)</f>
        <v>0</v>
      </c>
    </row>
    <row r="9" spans="1:23" thickBot="1" x14ac:dyDescent="0.25">
      <c r="A9" s="14" t="s">
        <v>6</v>
      </c>
      <c r="B9" s="98"/>
      <c r="C9" s="97"/>
      <c r="H9" s="14"/>
      <c r="K9" s="127"/>
      <c r="L9" s="127"/>
      <c r="M9" s="127"/>
      <c r="N9" s="128"/>
      <c r="O9" s="127"/>
      <c r="P9" s="127"/>
      <c r="Q9" s="127"/>
      <c r="R9" s="127"/>
      <c r="S9" s="119"/>
      <c r="T9" s="65"/>
    </row>
    <row r="10" spans="1:23" ht="14.25" x14ac:dyDescent="0.2">
      <c r="A10" s="14" t="s">
        <v>7</v>
      </c>
      <c r="B10" s="103">
        <f>B8+B9</f>
        <v>0</v>
      </c>
      <c r="C10" s="96"/>
      <c r="E10" s="37"/>
      <c r="F10" s="38"/>
      <c r="G10" s="38"/>
      <c r="H10" s="14"/>
      <c r="I10" s="83"/>
      <c r="K10" s="127"/>
      <c r="L10" s="127"/>
      <c r="M10" s="127"/>
      <c r="N10" s="128"/>
      <c r="O10" s="127"/>
      <c r="P10" s="127"/>
      <c r="Q10" s="127"/>
      <c r="R10" s="127"/>
      <c r="S10" s="120">
        <f>IF(S7+S8+T3=3, 1,0)</f>
        <v>0</v>
      </c>
      <c r="T10" s="66">
        <f>IF(T7+T8+T3=3, 1,0)</f>
        <v>0</v>
      </c>
    </row>
    <row r="11" spans="1:23" thickBot="1" x14ac:dyDescent="0.25">
      <c r="A11" s="14"/>
      <c r="B11" s="96"/>
      <c r="C11" s="96"/>
      <c r="E11" s="83"/>
      <c r="F11" s="137"/>
      <c r="G11" s="137"/>
      <c r="H11" s="14"/>
      <c r="I11" s="83"/>
      <c r="K11" s="127"/>
      <c r="L11" s="127"/>
      <c r="M11" s="127"/>
      <c r="N11" s="128"/>
      <c r="O11" s="127"/>
      <c r="P11" s="127"/>
      <c r="Q11" s="127"/>
      <c r="R11" s="127"/>
      <c r="S11" s="121"/>
      <c r="T11" s="65"/>
    </row>
    <row r="12" spans="1:23" ht="42.75" customHeight="1" x14ac:dyDescent="0.2">
      <c r="A12" s="203" t="s">
        <v>292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5"/>
    </row>
    <row r="13" spans="1:23" ht="207.75" customHeight="1" thickBot="1" x14ac:dyDescent="0.25">
      <c r="A13" s="206" t="s">
        <v>310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8"/>
    </row>
    <row r="14" spans="1:23" ht="54" hidden="1" customHeight="1" thickBot="1" x14ac:dyDescent="0.25">
      <c r="A14" s="139" t="s">
        <v>8</v>
      </c>
      <c r="B14" s="140" t="s">
        <v>286</v>
      </c>
      <c r="C14" s="87"/>
      <c r="E14" s="113"/>
      <c r="F14" s="113"/>
      <c r="G14" s="141"/>
      <c r="H14" s="142" t="s">
        <v>290</v>
      </c>
      <c r="I14" s="143"/>
      <c r="J14" s="144" t="s">
        <v>291</v>
      </c>
      <c r="K14" s="127"/>
      <c r="L14" s="200" t="s">
        <v>285</v>
      </c>
      <c r="M14" s="201"/>
      <c r="N14" s="201"/>
      <c r="O14" s="201"/>
      <c r="P14" s="201"/>
      <c r="Q14" s="201"/>
      <c r="R14" s="201"/>
      <c r="S14" s="201"/>
      <c r="T14" s="201"/>
      <c r="U14" s="202"/>
      <c r="W14" s="145"/>
    </row>
    <row r="15" spans="1:23" ht="54" hidden="1" customHeight="1" x14ac:dyDescent="0.2">
      <c r="A15" s="132" t="s">
        <v>281</v>
      </c>
      <c r="B15" s="133">
        <f>IF(B10&gt;0, ((SUM(N32:N73)-N43-N54-N34+(K34*1))/B10),0)</f>
        <v>0</v>
      </c>
      <c r="C15" s="88"/>
      <c r="F15" s="14"/>
      <c r="G15" s="14"/>
      <c r="H15" s="129" t="s">
        <v>274</v>
      </c>
      <c r="I15" s="130"/>
      <c r="J15" s="131" t="s">
        <v>275</v>
      </c>
      <c r="K15" s="127"/>
      <c r="L15" s="146" t="s">
        <v>276</v>
      </c>
      <c r="M15" s="127"/>
      <c r="N15" s="128"/>
      <c r="O15" s="127"/>
      <c r="P15" s="127"/>
      <c r="Q15" s="127"/>
      <c r="R15" s="127"/>
      <c r="U15" s="147" t="s">
        <v>277</v>
      </c>
    </row>
    <row r="16" spans="1:23" ht="54" hidden="1" customHeight="1" x14ac:dyDescent="0.2">
      <c r="A16" s="81" t="s">
        <v>282</v>
      </c>
      <c r="B16" s="90" t="str">
        <f>IF(T3&gt;=1,T22,S22)</f>
        <v>û</v>
      </c>
      <c r="C16" s="89"/>
      <c r="F16" s="14"/>
      <c r="G16" s="14"/>
      <c r="H16" s="106" t="s">
        <v>287</v>
      </c>
      <c r="I16" s="107"/>
      <c r="J16" s="108" t="s">
        <v>287</v>
      </c>
      <c r="K16" s="127"/>
      <c r="L16" s="93" t="str">
        <f>IF(S10=1,T22,S22)</f>
        <v>û</v>
      </c>
      <c r="M16" s="127"/>
      <c r="N16" s="128"/>
      <c r="O16" s="127"/>
      <c r="P16" s="127"/>
      <c r="Q16" s="127"/>
      <c r="R16" s="127"/>
      <c r="U16" s="90" t="str">
        <f>IF(S21=1,T22,S22)</f>
        <v>û</v>
      </c>
    </row>
    <row r="17" spans="1:22" ht="54" hidden="1" customHeight="1" x14ac:dyDescent="0.2">
      <c r="A17" s="81" t="s">
        <v>294</v>
      </c>
      <c r="B17" s="86">
        <f>IF(B10, ((N32+N33+(K34*1)+N35+N36+N37+N38)/B10),0)</f>
        <v>0</v>
      </c>
      <c r="C17" s="88"/>
      <c r="F17" s="14"/>
      <c r="G17" s="14"/>
      <c r="H17" s="106" t="s">
        <v>280</v>
      </c>
      <c r="I17" s="107"/>
      <c r="J17" s="108" t="s">
        <v>289</v>
      </c>
      <c r="K17" s="127"/>
      <c r="L17" s="101" t="s">
        <v>278</v>
      </c>
      <c r="M17" s="127"/>
      <c r="N17" s="128"/>
      <c r="O17" s="127"/>
      <c r="P17" s="127"/>
      <c r="Q17" s="127"/>
      <c r="R17" s="127"/>
      <c r="S17" s="122" t="s">
        <v>264</v>
      </c>
      <c r="T17" s="67" t="s">
        <v>265</v>
      </c>
      <c r="U17" s="102" t="s">
        <v>279</v>
      </c>
    </row>
    <row r="18" spans="1:22" ht="54" hidden="1" customHeight="1" thickBot="1" x14ac:dyDescent="0.25">
      <c r="A18" s="91" t="s">
        <v>293</v>
      </c>
      <c r="B18" s="92">
        <f>IF(B10, ((N32+N33+(K34*1)+N36+N37)/B10),0)</f>
        <v>0</v>
      </c>
      <c r="C18" s="88"/>
      <c r="F18" s="14"/>
      <c r="G18" s="59"/>
      <c r="H18" s="109" t="s">
        <v>288</v>
      </c>
      <c r="I18" s="110"/>
      <c r="J18" s="111" t="s">
        <v>288</v>
      </c>
      <c r="K18" s="127"/>
      <c r="L18" s="94" t="str">
        <f>IF(T10=1,T22,S22)</f>
        <v>û</v>
      </c>
      <c r="M18" s="127"/>
      <c r="N18" s="128"/>
      <c r="O18" s="127"/>
      <c r="P18" s="127"/>
      <c r="Q18" s="127"/>
      <c r="R18" s="127"/>
      <c r="S18" s="119">
        <f>IF(B15&gt;=0.1,1,0)</f>
        <v>0</v>
      </c>
      <c r="T18" s="65">
        <f>IF(B15&gt;=0.15,1,0)</f>
        <v>0</v>
      </c>
      <c r="U18" s="95" t="str">
        <f>IF(T21=1,T22,S22)</f>
        <v>û</v>
      </c>
    </row>
    <row r="19" spans="1:22" ht="24.75" hidden="1" customHeight="1" thickBot="1" x14ac:dyDescent="0.25">
      <c r="A19" s="151"/>
      <c r="B19" s="152"/>
      <c r="C19" s="88"/>
      <c r="F19" s="14"/>
      <c r="G19" s="59"/>
      <c r="H19" s="150"/>
      <c r="I19" s="150"/>
      <c r="J19" s="150"/>
      <c r="K19" s="127"/>
      <c r="L19" s="149"/>
      <c r="M19" s="127"/>
      <c r="N19" s="128"/>
      <c r="O19" s="127"/>
      <c r="P19" s="127"/>
      <c r="Q19" s="127"/>
      <c r="R19" s="127"/>
      <c r="S19" s="119">
        <f>IF(B17&gt;=0.05,1,0)</f>
        <v>0</v>
      </c>
      <c r="T19" s="65">
        <f>IF(B18&gt;=0.05,1,0)</f>
        <v>0</v>
      </c>
      <c r="U19" s="149"/>
    </row>
    <row r="20" spans="1:22" ht="54" customHeight="1" thickBot="1" x14ac:dyDescent="0.25">
      <c r="A20" s="136" t="s">
        <v>9</v>
      </c>
      <c r="B20" s="134" t="s">
        <v>286</v>
      </c>
      <c r="C20" s="134" t="s">
        <v>311</v>
      </c>
      <c r="D20" s="60"/>
      <c r="E20" s="60"/>
      <c r="F20" s="84"/>
      <c r="G20" s="85"/>
      <c r="H20" s="134" t="s">
        <v>312</v>
      </c>
      <c r="K20" s="127"/>
      <c r="L20" s="127"/>
      <c r="M20" s="127" t="s">
        <v>304</v>
      </c>
      <c r="N20" s="128" t="s">
        <v>305</v>
      </c>
      <c r="O20" s="127" t="s">
        <v>306</v>
      </c>
      <c r="P20" s="127" t="s">
        <v>307</v>
      </c>
      <c r="Q20" s="127" t="s">
        <v>308</v>
      </c>
      <c r="R20" s="127" t="s">
        <v>309</v>
      </c>
      <c r="S20" s="119"/>
      <c r="T20" s="65">
        <f>IF(B17&gt;=0.1,1,0)</f>
        <v>0</v>
      </c>
    </row>
    <row r="21" spans="1:22" ht="42" customHeight="1" x14ac:dyDescent="0.2">
      <c r="A21" s="132" t="s">
        <v>297</v>
      </c>
      <c r="B21" s="135">
        <f>IF(B10,SUM(N32:N38)/B10,0)</f>
        <v>0</v>
      </c>
      <c r="C21" s="179">
        <f>MAX(M21,N21,O21,P21,Q21,R21)</f>
        <v>0</v>
      </c>
      <c r="D21" s="135"/>
      <c r="E21" s="135"/>
      <c r="F21" s="135"/>
      <c r="G21" s="135"/>
      <c r="H21" s="211">
        <f>SUM(C21+C22)</f>
        <v>0</v>
      </c>
      <c r="I21" s="100"/>
      <c r="K21" s="127"/>
      <c r="L21" s="127"/>
      <c r="M21" s="127">
        <f>IF(B21 &lt;5,0,0)</f>
        <v>0</v>
      </c>
      <c r="N21" s="128">
        <f>IF(B21&gt;=0.05,1.2,0)</f>
        <v>0</v>
      </c>
      <c r="O21" s="127">
        <f>IF(B21&gt;=0.1,1.8,0)</f>
        <v>0</v>
      </c>
      <c r="P21" s="127">
        <f>IF(B21&gt;=0.15,2.7,0)</f>
        <v>0</v>
      </c>
      <c r="Q21" s="127">
        <f>IF(B21&gt;=0.2,3.5,0)</f>
        <v>0</v>
      </c>
      <c r="R21" s="127">
        <f>IF(B21&gt;=0.25,4.3,0)</f>
        <v>0</v>
      </c>
      <c r="S21" s="123">
        <f>IF(S18+S19+T3=3, 1,0)</f>
        <v>0</v>
      </c>
      <c r="T21" s="66">
        <f>IF(T18+T19+T20+T3=4, 1,0)</f>
        <v>0</v>
      </c>
    </row>
    <row r="22" spans="1:22" ht="42" customHeight="1" thickBot="1" x14ac:dyDescent="0.45">
      <c r="A22" s="82" t="s">
        <v>295</v>
      </c>
      <c r="B22" s="153">
        <f>IF(B10,SUM(N40:N73)/B10,0)</f>
        <v>0</v>
      </c>
      <c r="C22" s="180">
        <f>MAX(M22,N22,O22,P22,Q22,R22)</f>
        <v>0</v>
      </c>
      <c r="D22" s="177"/>
      <c r="E22" s="177"/>
      <c r="F22" s="177"/>
      <c r="G22" s="177"/>
      <c r="H22" s="212"/>
      <c r="I22" s="148"/>
      <c r="K22" s="127"/>
      <c r="L22" s="127"/>
      <c r="M22" s="127">
        <f>IF(B22 &lt;5,0,0)</f>
        <v>0</v>
      </c>
      <c r="N22" s="128">
        <f>IF(B22&gt;=0.05,0.7,0)</f>
        <v>0</v>
      </c>
      <c r="O22" s="127">
        <f>IF(B22&gt;=0.1,1.1,0)</f>
        <v>0</v>
      </c>
      <c r="P22" s="127">
        <f>IF(B22&gt;=0.15,1.2,0)</f>
        <v>0</v>
      </c>
      <c r="Q22" s="127">
        <f>IF(B22&gt;=0.2,3.2,0)</f>
        <v>0</v>
      </c>
      <c r="R22" s="127">
        <f>IF(B22&gt;=0.25,2.7,0)</f>
        <v>0</v>
      </c>
      <c r="S22" s="61" t="s">
        <v>10</v>
      </c>
      <c r="T22" s="62" t="s">
        <v>11</v>
      </c>
    </row>
    <row r="23" spans="1:22" ht="39" customHeight="1" x14ac:dyDescent="0.4">
      <c r="A23" s="105"/>
      <c r="B23" s="104"/>
      <c r="C23" s="88"/>
      <c r="D23" s="14"/>
      <c r="E23" s="14"/>
      <c r="F23" s="14"/>
      <c r="G23" s="14"/>
      <c r="H23" s="83"/>
      <c r="I23" s="112"/>
      <c r="K23" s="127"/>
      <c r="L23" s="127"/>
      <c r="M23" s="127"/>
      <c r="N23" s="127"/>
      <c r="O23" s="127"/>
      <c r="P23" s="127"/>
      <c r="Q23" s="127"/>
      <c r="R23" s="127"/>
      <c r="S23" s="61"/>
      <c r="T23" s="62"/>
    </row>
    <row r="24" spans="1:22" ht="21" customHeight="1" x14ac:dyDescent="0.2">
      <c r="A24" s="105"/>
      <c r="B24" s="104"/>
      <c r="C24" s="104"/>
      <c r="D24" s="14"/>
      <c r="E24" s="14"/>
      <c r="F24" s="14"/>
      <c r="G24" s="14"/>
      <c r="H24" s="149"/>
      <c r="I24" s="112"/>
      <c r="J24" s="99"/>
      <c r="K24" s="124"/>
      <c r="L24" s="124"/>
      <c r="M24" s="63"/>
      <c r="N24" s="63"/>
      <c r="O24" s="63"/>
      <c r="P24" s="63"/>
      <c r="Q24" s="63"/>
      <c r="R24" s="63"/>
      <c r="S24" s="60"/>
      <c r="T24" s="60"/>
    </row>
    <row r="25" spans="1:22" ht="63.75" customHeight="1" x14ac:dyDescent="0.25">
      <c r="A25" s="78" t="s">
        <v>301</v>
      </c>
      <c r="B25" s="156" t="s">
        <v>12</v>
      </c>
      <c r="C25" s="78" t="s">
        <v>300</v>
      </c>
      <c r="D25" s="78" t="s">
        <v>13</v>
      </c>
      <c r="E25" s="58" t="s">
        <v>14</v>
      </c>
      <c r="F25" s="58" t="s">
        <v>15</v>
      </c>
      <c r="G25" s="41" t="s">
        <v>16</v>
      </c>
      <c r="H25" s="58" t="s">
        <v>17</v>
      </c>
      <c r="I25" s="58" t="s">
        <v>18</v>
      </c>
      <c r="J25" s="58" t="s">
        <v>19</v>
      </c>
      <c r="K25" s="58" t="s">
        <v>20</v>
      </c>
      <c r="L25" s="78" t="s">
        <v>299</v>
      </c>
      <c r="M25" s="114"/>
      <c r="N25" s="115"/>
      <c r="O25" s="115"/>
      <c r="P25" s="115"/>
      <c r="Q25" s="115"/>
      <c r="R25" s="115"/>
      <c r="S25" s="116"/>
      <c r="T25" s="116"/>
      <c r="U25" s="209" t="s">
        <v>21</v>
      </c>
      <c r="V25" s="210"/>
    </row>
    <row r="26" spans="1:22" ht="49.5" hidden="1" customHeight="1" thickBot="1" x14ac:dyDescent="0.25">
      <c r="A26" s="196" t="s">
        <v>283</v>
      </c>
      <c r="B26" s="197"/>
      <c r="C26" s="197"/>
      <c r="D26" s="197"/>
      <c r="E26" s="197"/>
      <c r="F26" s="197"/>
      <c r="G26" s="197"/>
      <c r="H26" s="197"/>
      <c r="I26" s="197"/>
      <c r="J26" s="195"/>
      <c r="K26" s="195"/>
      <c r="L26" s="198"/>
      <c r="M26" s="44">
        <f>SUM(M27:M30)</f>
        <v>0</v>
      </c>
      <c r="N26" s="40"/>
      <c r="O26" s="40"/>
      <c r="P26" s="40"/>
      <c r="Q26" s="40"/>
      <c r="R26" s="40"/>
      <c r="U26" s="113" t="s">
        <v>12</v>
      </c>
      <c r="V26" s="113" t="s">
        <v>22</v>
      </c>
    </row>
    <row r="27" spans="1:22" s="35" customFormat="1" ht="18.75" hidden="1" customHeight="1" thickBot="1" x14ac:dyDescent="0.25">
      <c r="A27" s="22" t="s">
        <v>169</v>
      </c>
      <c r="B27" s="157" t="s">
        <v>170</v>
      </c>
      <c r="C27" s="17" t="s">
        <v>35</v>
      </c>
      <c r="D27" s="17" t="s">
        <v>63</v>
      </c>
      <c r="E27" s="32" t="s">
        <v>171</v>
      </c>
      <c r="F27" s="16"/>
      <c r="G27" s="33">
        <v>100</v>
      </c>
      <c r="H27" s="49">
        <v>0.1</v>
      </c>
      <c r="I27" s="70" t="s">
        <v>172</v>
      </c>
      <c r="J27" s="49" t="s">
        <v>36</v>
      </c>
      <c r="K27" s="77" t="s">
        <v>25</v>
      </c>
      <c r="L27" s="71" t="s">
        <v>173</v>
      </c>
      <c r="M27" s="47">
        <f>IF(K27="ja",1,0)</f>
        <v>0</v>
      </c>
      <c r="N27" s="39">
        <f>H27*M27</f>
        <v>0</v>
      </c>
      <c r="O27" s="39"/>
      <c r="P27" s="39"/>
      <c r="Q27" s="39"/>
      <c r="R27" s="39"/>
      <c r="U27" s="54" t="s">
        <v>177</v>
      </c>
      <c r="V27" s="54"/>
    </row>
    <row r="28" spans="1:22" s="35" customFormat="1" ht="18" hidden="1" customHeight="1" thickBot="1" x14ac:dyDescent="0.25">
      <c r="A28" s="22" t="s">
        <v>174</v>
      </c>
      <c r="B28" s="157" t="s">
        <v>170</v>
      </c>
      <c r="C28" s="17" t="s">
        <v>35</v>
      </c>
      <c r="D28" s="17"/>
      <c r="E28" s="32" t="s">
        <v>171</v>
      </c>
      <c r="F28" s="16"/>
      <c r="G28" s="33">
        <v>100</v>
      </c>
      <c r="H28" s="49">
        <v>0.2</v>
      </c>
      <c r="I28" s="70" t="s">
        <v>175</v>
      </c>
      <c r="J28" s="49" t="s">
        <v>36</v>
      </c>
      <c r="K28" s="77" t="s">
        <v>25</v>
      </c>
      <c r="L28" s="71" t="s">
        <v>173</v>
      </c>
      <c r="M28" s="47">
        <f>IF(K28="ja",1,0)</f>
        <v>0</v>
      </c>
      <c r="N28" s="39">
        <f>H28*M28</f>
        <v>0</v>
      </c>
      <c r="O28" s="39"/>
      <c r="P28" s="39"/>
      <c r="Q28" s="39"/>
      <c r="R28" s="39"/>
      <c r="U28" s="54" t="s">
        <v>177</v>
      </c>
      <c r="V28" s="54"/>
    </row>
    <row r="29" spans="1:22" s="35" customFormat="1" ht="16.5" hidden="1" customHeight="1" thickBot="1" x14ac:dyDescent="0.25">
      <c r="A29" s="19" t="s">
        <v>176</v>
      </c>
      <c r="B29" s="157" t="s">
        <v>177</v>
      </c>
      <c r="C29" s="20" t="s">
        <v>35</v>
      </c>
      <c r="D29" s="20" t="s">
        <v>63</v>
      </c>
      <c r="E29" s="32" t="s">
        <v>55</v>
      </c>
      <c r="F29" s="16"/>
      <c r="G29" s="33">
        <v>100</v>
      </c>
      <c r="H29" s="49">
        <v>0.1</v>
      </c>
      <c r="I29" s="70" t="s">
        <v>172</v>
      </c>
      <c r="J29" s="49" t="s">
        <v>36</v>
      </c>
      <c r="K29" s="77" t="s">
        <v>25</v>
      </c>
      <c r="L29" s="71" t="s">
        <v>178</v>
      </c>
      <c r="M29" s="47">
        <f>IF(K29="ja",1,0)</f>
        <v>0</v>
      </c>
      <c r="N29" s="39">
        <f>H29*M29</f>
        <v>0</v>
      </c>
      <c r="O29" s="39"/>
      <c r="P29" s="39"/>
      <c r="Q29" s="39"/>
      <c r="R29" s="39"/>
      <c r="T29" s="36"/>
      <c r="U29" s="54" t="s">
        <v>170</v>
      </c>
      <c r="V29" s="54"/>
    </row>
    <row r="30" spans="1:22" s="35" customFormat="1" ht="17.25" hidden="1" customHeight="1" thickBot="1" x14ac:dyDescent="0.25">
      <c r="A30" s="19" t="s">
        <v>179</v>
      </c>
      <c r="B30" s="157" t="s">
        <v>177</v>
      </c>
      <c r="C30" s="20" t="s">
        <v>35</v>
      </c>
      <c r="D30" s="20"/>
      <c r="E30" s="32" t="s">
        <v>55</v>
      </c>
      <c r="F30" s="16"/>
      <c r="G30" s="33">
        <v>100</v>
      </c>
      <c r="H30" s="49">
        <v>0.2</v>
      </c>
      <c r="I30" s="70" t="s">
        <v>175</v>
      </c>
      <c r="J30" s="49" t="s">
        <v>36</v>
      </c>
      <c r="K30" s="77" t="s">
        <v>25</v>
      </c>
      <c r="L30" s="71" t="s">
        <v>173</v>
      </c>
      <c r="M30" s="47">
        <f>IF(K30="ja",1,0)</f>
        <v>0</v>
      </c>
      <c r="N30" s="39">
        <f>H30*M30</f>
        <v>0</v>
      </c>
      <c r="O30" s="39"/>
      <c r="P30" s="39"/>
      <c r="Q30" s="39"/>
      <c r="R30" s="39"/>
      <c r="U30" s="54" t="s">
        <v>170</v>
      </c>
      <c r="V30" s="54"/>
    </row>
    <row r="31" spans="1:22" ht="41.25" customHeight="1" thickBot="1" x14ac:dyDescent="0.25">
      <c r="A31" s="191" t="s">
        <v>284</v>
      </c>
      <c r="B31" s="192"/>
      <c r="C31" s="192"/>
      <c r="D31" s="192"/>
      <c r="E31" s="192"/>
      <c r="F31" s="192"/>
      <c r="G31" s="192"/>
      <c r="H31" s="192"/>
      <c r="I31" s="192"/>
      <c r="J31" s="193"/>
      <c r="K31" s="193"/>
      <c r="L31" s="194"/>
      <c r="M31" s="42"/>
      <c r="N31" s="43"/>
      <c r="O31" s="178"/>
      <c r="P31" s="178"/>
      <c r="Q31" s="178"/>
      <c r="R31" s="178"/>
      <c r="U31" s="182"/>
      <c r="V31" s="183"/>
    </row>
    <row r="32" spans="1:22" s="31" customFormat="1" ht="60.75" thickBot="1" x14ac:dyDescent="0.3">
      <c r="A32" s="57" t="s">
        <v>23</v>
      </c>
      <c r="B32" s="158" t="s">
        <v>24</v>
      </c>
      <c r="C32" s="20" t="s">
        <v>296</v>
      </c>
      <c r="D32" s="17"/>
      <c r="E32" s="19"/>
      <c r="F32" s="21"/>
      <c r="G32" s="50">
        <v>1200</v>
      </c>
      <c r="H32" s="21">
        <v>1</v>
      </c>
      <c r="I32" s="69"/>
      <c r="J32" s="72" t="s">
        <v>25</v>
      </c>
      <c r="K32" s="73"/>
      <c r="L32" s="71" t="s">
        <v>26</v>
      </c>
      <c r="M32" s="15"/>
      <c r="N32" s="15">
        <f>H32*K32</f>
        <v>0</v>
      </c>
      <c r="O32" s="15"/>
      <c r="P32" s="15"/>
      <c r="Q32" s="15"/>
      <c r="R32" s="15"/>
      <c r="S32" s="15"/>
      <c r="T32" s="53"/>
      <c r="U32" s="173" t="s">
        <v>27</v>
      </c>
      <c r="V32" s="173" t="s">
        <v>28</v>
      </c>
    </row>
    <row r="33" spans="1:22" s="31" customFormat="1" ht="18" customHeight="1" thickBot="1" x14ac:dyDescent="0.3">
      <c r="A33" s="57" t="s">
        <v>29</v>
      </c>
      <c r="B33" s="158" t="s">
        <v>30</v>
      </c>
      <c r="C33" s="17" t="s">
        <v>31</v>
      </c>
      <c r="D33" s="17"/>
      <c r="E33" s="19"/>
      <c r="F33" s="21"/>
      <c r="G33" s="50">
        <v>1200</v>
      </c>
      <c r="H33" s="21">
        <v>1</v>
      </c>
      <c r="I33" s="69"/>
      <c r="J33" s="72" t="s">
        <v>25</v>
      </c>
      <c r="K33" s="73"/>
      <c r="L33" s="71" t="s">
        <v>26</v>
      </c>
      <c r="M33" s="15"/>
      <c r="N33" s="15">
        <f t="shared" ref="N33:N37" si="0">H33*K33</f>
        <v>0</v>
      </c>
      <c r="O33" s="15"/>
      <c r="P33" s="15"/>
      <c r="Q33" s="15"/>
      <c r="R33" s="15"/>
      <c r="S33" s="15"/>
      <c r="T33" s="53"/>
      <c r="U33" s="173">
        <v>108</v>
      </c>
      <c r="V33" s="173">
        <v>8</v>
      </c>
    </row>
    <row r="34" spans="1:22" s="31" customFormat="1" ht="76.5" customHeight="1" thickBot="1" x14ac:dyDescent="0.3">
      <c r="A34" s="57" t="s">
        <v>302</v>
      </c>
      <c r="B34" s="158" t="s">
        <v>32</v>
      </c>
      <c r="C34" s="20">
        <v>41</v>
      </c>
      <c r="D34" s="17"/>
      <c r="E34" s="19"/>
      <c r="F34" s="21"/>
      <c r="G34" s="50"/>
      <c r="H34" s="21">
        <v>0.75</v>
      </c>
      <c r="I34" s="69"/>
      <c r="J34" s="72"/>
      <c r="K34" s="73"/>
      <c r="L34" s="71" t="s">
        <v>26</v>
      </c>
      <c r="M34" s="15"/>
      <c r="N34" s="15">
        <f t="shared" si="0"/>
        <v>0</v>
      </c>
      <c r="O34" s="15"/>
      <c r="P34" s="15"/>
      <c r="Q34" s="15"/>
      <c r="R34" s="15"/>
      <c r="S34" s="15"/>
      <c r="T34" s="53"/>
      <c r="U34" s="173">
        <v>108</v>
      </c>
      <c r="V34" s="173">
        <v>8</v>
      </c>
    </row>
    <row r="35" spans="1:22" s="31" customFormat="1" ht="17.25" hidden="1" customHeight="1" thickBot="1" x14ac:dyDescent="0.3">
      <c r="A35" s="32" t="s">
        <v>33</v>
      </c>
      <c r="B35" s="158" t="s">
        <v>34</v>
      </c>
      <c r="C35" s="17" t="s">
        <v>35</v>
      </c>
      <c r="D35" s="17"/>
      <c r="E35" s="19"/>
      <c r="F35" s="21"/>
      <c r="G35" s="50"/>
      <c r="H35" s="21">
        <v>0.4</v>
      </c>
      <c r="I35" s="69"/>
      <c r="J35" s="49" t="s">
        <v>36</v>
      </c>
      <c r="K35" s="73"/>
      <c r="L35" s="71" t="s">
        <v>26</v>
      </c>
      <c r="M35" s="15"/>
      <c r="N35" s="15"/>
      <c r="O35" s="15"/>
      <c r="P35" s="15"/>
      <c r="Q35" s="15"/>
      <c r="R35" s="15"/>
      <c r="S35" s="15"/>
      <c r="T35" s="53"/>
      <c r="U35" s="173" t="s">
        <v>271</v>
      </c>
      <c r="V35" s="173" t="s">
        <v>37</v>
      </c>
    </row>
    <row r="36" spans="1:22" s="31" customFormat="1" ht="18.75" thickBot="1" x14ac:dyDescent="0.3">
      <c r="A36" s="52" t="s">
        <v>38</v>
      </c>
      <c r="B36" s="158" t="s">
        <v>39</v>
      </c>
      <c r="C36" s="17" t="s">
        <v>40</v>
      </c>
      <c r="D36" s="17"/>
      <c r="E36" s="19"/>
      <c r="F36" s="21"/>
      <c r="G36" s="50"/>
      <c r="H36" s="21">
        <v>1</v>
      </c>
      <c r="I36" s="69"/>
      <c r="J36" s="72" t="s">
        <v>25</v>
      </c>
      <c r="K36" s="73"/>
      <c r="L36" s="71" t="s">
        <v>26</v>
      </c>
      <c r="M36" s="15"/>
      <c r="N36" s="15">
        <f t="shared" si="0"/>
        <v>0</v>
      </c>
      <c r="O36" s="15"/>
      <c r="P36" s="15"/>
      <c r="Q36" s="15"/>
      <c r="R36" s="15"/>
      <c r="S36" s="15"/>
      <c r="T36" s="53"/>
      <c r="U36" s="173">
        <v>108</v>
      </c>
      <c r="V36" s="173">
        <v>8</v>
      </c>
    </row>
    <row r="37" spans="1:22" s="31" customFormat="1" ht="18.75" thickBot="1" x14ac:dyDescent="0.3">
      <c r="A37" s="52" t="s">
        <v>41</v>
      </c>
      <c r="B37" s="158" t="s">
        <v>42</v>
      </c>
      <c r="C37" s="17" t="s">
        <v>43</v>
      </c>
      <c r="D37" s="17"/>
      <c r="E37" s="19"/>
      <c r="F37" s="21"/>
      <c r="G37" s="50"/>
      <c r="H37" s="21">
        <v>1</v>
      </c>
      <c r="I37" s="69"/>
      <c r="J37" s="72" t="s">
        <v>25</v>
      </c>
      <c r="K37" s="73"/>
      <c r="L37" s="71" t="s">
        <v>26</v>
      </c>
      <c r="M37" s="15"/>
      <c r="N37" s="15">
        <f t="shared" si="0"/>
        <v>0</v>
      </c>
      <c r="O37" s="15"/>
      <c r="P37" s="15"/>
      <c r="Q37" s="15"/>
      <c r="R37" s="15"/>
      <c r="S37" s="15"/>
      <c r="T37" s="53"/>
      <c r="U37" s="173">
        <v>108</v>
      </c>
      <c r="V37" s="173">
        <v>8</v>
      </c>
    </row>
    <row r="38" spans="1:22" s="31" customFormat="1" ht="42" hidden="1" customHeight="1" thickBot="1" x14ac:dyDescent="0.3">
      <c r="A38" s="32" t="s">
        <v>44</v>
      </c>
      <c r="B38" s="158" t="s">
        <v>45</v>
      </c>
      <c r="C38" s="15" t="s">
        <v>35</v>
      </c>
      <c r="D38" s="15"/>
      <c r="E38" s="32"/>
      <c r="F38" s="16"/>
      <c r="G38" s="33"/>
      <c r="H38" s="16">
        <v>0.4</v>
      </c>
      <c r="I38" s="70"/>
      <c r="J38" s="49" t="s">
        <v>36</v>
      </c>
      <c r="K38" s="73"/>
      <c r="L38" s="71" t="s">
        <v>26</v>
      </c>
      <c r="M38" s="15"/>
      <c r="N38" s="15"/>
      <c r="O38" s="15"/>
      <c r="P38" s="15"/>
      <c r="Q38" s="15"/>
      <c r="R38" s="15"/>
      <c r="S38" s="15"/>
      <c r="T38" s="53"/>
      <c r="U38" s="23" t="s">
        <v>270</v>
      </c>
      <c r="V38" s="79">
        <v>8</v>
      </c>
    </row>
    <row r="39" spans="1:22" ht="42" customHeight="1" thickBot="1" x14ac:dyDescent="0.25">
      <c r="A39" s="191" t="s">
        <v>46</v>
      </c>
      <c r="B39" s="192"/>
      <c r="C39" s="192"/>
      <c r="D39" s="192"/>
      <c r="E39" s="192"/>
      <c r="F39" s="192"/>
      <c r="G39" s="192"/>
      <c r="H39" s="192"/>
      <c r="I39" s="192"/>
      <c r="J39" s="195"/>
      <c r="K39" s="195"/>
      <c r="L39" s="194"/>
      <c r="M39" s="44"/>
      <c r="N39" s="40"/>
      <c r="O39" s="40"/>
      <c r="P39" s="40"/>
      <c r="Q39" s="40"/>
      <c r="R39" s="40"/>
      <c r="U39" s="184"/>
      <c r="V39" s="184"/>
    </row>
    <row r="40" spans="1:22" ht="18.75" customHeight="1" thickBot="1" x14ac:dyDescent="0.25">
      <c r="A40" s="19" t="s">
        <v>47</v>
      </c>
      <c r="B40" s="159" t="s">
        <v>48</v>
      </c>
      <c r="C40" s="17" t="s">
        <v>267</v>
      </c>
      <c r="D40" s="20"/>
      <c r="E40" s="32" t="s">
        <v>49</v>
      </c>
      <c r="F40" s="16" t="s">
        <v>50</v>
      </c>
      <c r="G40" s="33">
        <v>485.9</v>
      </c>
      <c r="H40" s="51">
        <v>0.39</v>
      </c>
      <c r="I40" s="70" t="s">
        <v>51</v>
      </c>
      <c r="J40" s="72" t="s">
        <v>25</v>
      </c>
      <c r="K40" s="73"/>
      <c r="L40" s="71" t="s">
        <v>26</v>
      </c>
      <c r="M40" s="45"/>
      <c r="N40" s="39">
        <f t="shared" ref="N40:N44" si="1">H40*K40</f>
        <v>0</v>
      </c>
      <c r="O40" s="39"/>
      <c r="P40" s="39"/>
      <c r="Q40" s="39"/>
      <c r="R40" s="39"/>
      <c r="U40" s="174" t="s">
        <v>52</v>
      </c>
      <c r="V40" s="174" t="s">
        <v>28</v>
      </c>
    </row>
    <row r="41" spans="1:22" ht="21.75" customHeight="1" thickBot="1" x14ac:dyDescent="0.25">
      <c r="A41" s="19" t="s">
        <v>53</v>
      </c>
      <c r="B41" s="159" t="s">
        <v>54</v>
      </c>
      <c r="C41" s="20" t="s">
        <v>268</v>
      </c>
      <c r="D41" s="20"/>
      <c r="E41" s="32" t="s">
        <v>55</v>
      </c>
      <c r="F41" s="16" t="s">
        <v>56</v>
      </c>
      <c r="G41" s="33">
        <v>649.70000000000005</v>
      </c>
      <c r="H41" s="51">
        <v>0.52</v>
      </c>
      <c r="I41" s="70" t="s">
        <v>57</v>
      </c>
      <c r="J41" s="72" t="s">
        <v>25</v>
      </c>
      <c r="K41" s="73"/>
      <c r="L41" s="71" t="s">
        <v>26</v>
      </c>
      <c r="M41" s="45"/>
      <c r="N41" s="39">
        <f t="shared" si="1"/>
        <v>0</v>
      </c>
      <c r="O41" s="39"/>
      <c r="P41" s="39"/>
      <c r="Q41" s="39"/>
      <c r="R41" s="39"/>
      <c r="U41" s="174" t="s">
        <v>52</v>
      </c>
      <c r="V41" s="174" t="s">
        <v>28</v>
      </c>
    </row>
    <row r="42" spans="1:22" ht="18" customHeight="1" thickBot="1" x14ac:dyDescent="0.25">
      <c r="A42" s="19" t="s">
        <v>269</v>
      </c>
      <c r="B42" s="159" t="s">
        <v>58</v>
      </c>
      <c r="C42" s="20">
        <v>3</v>
      </c>
      <c r="D42" s="20"/>
      <c r="E42" s="32"/>
      <c r="F42" s="16" t="s">
        <v>59</v>
      </c>
      <c r="G42" s="33">
        <v>1608.82</v>
      </c>
      <c r="H42" s="51">
        <v>1.29</v>
      </c>
      <c r="I42" s="70" t="s">
        <v>60</v>
      </c>
      <c r="J42" s="72" t="s">
        <v>25</v>
      </c>
      <c r="K42" s="73"/>
      <c r="L42" s="71" t="s">
        <v>26</v>
      </c>
      <c r="M42" s="45"/>
      <c r="N42" s="39">
        <f t="shared" si="1"/>
        <v>0</v>
      </c>
      <c r="O42" s="39"/>
      <c r="P42" s="39"/>
      <c r="Q42" s="39"/>
      <c r="R42" s="39"/>
      <c r="U42" s="185" t="s">
        <v>61</v>
      </c>
      <c r="V42" s="185"/>
    </row>
    <row r="43" spans="1:22" ht="31.5" customHeight="1" thickBot="1" x14ac:dyDescent="0.25">
      <c r="A43" s="19" t="s">
        <v>303</v>
      </c>
      <c r="B43" s="157" t="s">
        <v>62</v>
      </c>
      <c r="C43" s="20">
        <v>4</v>
      </c>
      <c r="D43" s="20" t="s">
        <v>63</v>
      </c>
      <c r="E43" s="32" t="s">
        <v>64</v>
      </c>
      <c r="F43" s="16" t="s">
        <v>65</v>
      </c>
      <c r="G43" s="33">
        <f>126.67/3</f>
        <v>42.223333333333336</v>
      </c>
      <c r="H43" s="51">
        <v>0.03</v>
      </c>
      <c r="I43" s="70" t="s">
        <v>66</v>
      </c>
      <c r="J43" s="72" t="s">
        <v>25</v>
      </c>
      <c r="K43" s="73"/>
      <c r="L43" s="71" t="s">
        <v>26</v>
      </c>
      <c r="M43" s="45"/>
      <c r="N43" s="39">
        <f t="shared" si="1"/>
        <v>0</v>
      </c>
      <c r="O43" s="39"/>
      <c r="P43" s="39"/>
      <c r="Q43" s="39"/>
      <c r="R43" s="39"/>
      <c r="U43" s="181" t="s">
        <v>61</v>
      </c>
      <c r="V43" s="181"/>
    </row>
    <row r="44" spans="1:22" ht="16.5" customHeight="1" thickBot="1" x14ac:dyDescent="0.25">
      <c r="A44" s="19" t="s">
        <v>67</v>
      </c>
      <c r="B44" s="159" t="s">
        <v>68</v>
      </c>
      <c r="C44" s="20">
        <v>6</v>
      </c>
      <c r="D44" s="20" t="s">
        <v>63</v>
      </c>
      <c r="E44" s="32"/>
      <c r="F44" s="16" t="s">
        <v>69</v>
      </c>
      <c r="G44" s="33">
        <v>398.43</v>
      </c>
      <c r="H44" s="51">
        <v>0.32</v>
      </c>
      <c r="I44" s="70" t="s">
        <v>70</v>
      </c>
      <c r="J44" s="72" t="s">
        <v>25</v>
      </c>
      <c r="K44" s="73"/>
      <c r="L44" s="71" t="s">
        <v>26</v>
      </c>
      <c r="M44" s="45"/>
      <c r="N44" s="39">
        <f t="shared" si="1"/>
        <v>0</v>
      </c>
      <c r="O44" s="39"/>
      <c r="P44" s="39"/>
      <c r="Q44" s="39"/>
      <c r="R44" s="39"/>
      <c r="U44" s="174" t="s">
        <v>52</v>
      </c>
      <c r="V44" s="174" t="s">
        <v>28</v>
      </c>
    </row>
    <row r="45" spans="1:22" ht="47.25" customHeight="1" thickBot="1" x14ac:dyDescent="0.25">
      <c r="A45" s="19" t="s">
        <v>71</v>
      </c>
      <c r="B45" s="157" t="s">
        <v>72</v>
      </c>
      <c r="C45" s="20">
        <v>8</v>
      </c>
      <c r="D45" s="20" t="s">
        <v>63</v>
      </c>
      <c r="E45" s="32" t="s">
        <v>73</v>
      </c>
      <c r="F45" s="16" t="s">
        <v>74</v>
      </c>
      <c r="G45" s="33">
        <v>52.53</v>
      </c>
      <c r="H45" s="51">
        <v>0.04</v>
      </c>
      <c r="I45" s="70" t="s">
        <v>75</v>
      </c>
      <c r="J45" s="72" t="s">
        <v>25</v>
      </c>
      <c r="K45" s="73"/>
      <c r="L45" s="71" t="s">
        <v>76</v>
      </c>
      <c r="M45" s="45"/>
      <c r="N45" s="39">
        <f>H45*((K45*1)*0.0001)</f>
        <v>0</v>
      </c>
      <c r="O45" s="39"/>
      <c r="P45" s="39"/>
      <c r="Q45" s="39"/>
      <c r="R45" s="39"/>
      <c r="U45" s="175" t="s">
        <v>77</v>
      </c>
      <c r="V45" s="175" t="s">
        <v>78</v>
      </c>
    </row>
    <row r="46" spans="1:22" ht="67.5" customHeight="1" thickBot="1" x14ac:dyDescent="0.25">
      <c r="A46" s="22" t="s">
        <v>79</v>
      </c>
      <c r="B46" s="157" t="s">
        <v>80</v>
      </c>
      <c r="C46" s="20">
        <v>30</v>
      </c>
      <c r="D46" s="17"/>
      <c r="E46" s="32"/>
      <c r="F46" s="16">
        <v>30</v>
      </c>
      <c r="G46" s="33">
        <f>401.67*10</f>
        <v>4016.7000000000003</v>
      </c>
      <c r="H46" s="51">
        <v>3.21</v>
      </c>
      <c r="I46" s="70" t="s">
        <v>81</v>
      </c>
      <c r="J46" s="72" t="s">
        <v>25</v>
      </c>
      <c r="K46" s="73"/>
      <c r="L46" s="71" t="s">
        <v>82</v>
      </c>
      <c r="M46" s="45"/>
      <c r="N46" s="39">
        <f>H46*(K46*0.01)</f>
        <v>0</v>
      </c>
      <c r="O46" s="39"/>
      <c r="P46" s="39"/>
      <c r="Q46" s="39"/>
      <c r="R46" s="39"/>
      <c r="U46" s="175">
        <v>108</v>
      </c>
      <c r="V46" s="175">
        <v>8</v>
      </c>
    </row>
    <row r="47" spans="1:22" ht="54.75" customHeight="1" thickBot="1" x14ac:dyDescent="0.25">
      <c r="A47" s="191" t="s">
        <v>83</v>
      </c>
      <c r="B47" s="192"/>
      <c r="C47" s="192"/>
      <c r="D47" s="192"/>
      <c r="E47" s="192"/>
      <c r="F47" s="192"/>
      <c r="G47" s="192"/>
      <c r="H47" s="192"/>
      <c r="I47" s="192"/>
      <c r="J47" s="195"/>
      <c r="K47" s="195"/>
      <c r="L47" s="194"/>
      <c r="M47" s="42"/>
      <c r="N47" s="43"/>
      <c r="O47" s="178"/>
      <c r="P47" s="178"/>
      <c r="Q47" s="178"/>
      <c r="R47" s="178"/>
      <c r="U47" s="184"/>
      <c r="V47" s="184"/>
    </row>
    <row r="48" spans="1:22" s="35" customFormat="1" ht="19.5" customHeight="1" thickBot="1" x14ac:dyDescent="0.25">
      <c r="A48" s="19" t="s">
        <v>84</v>
      </c>
      <c r="B48" s="157" t="s">
        <v>85</v>
      </c>
      <c r="C48" s="20">
        <v>10</v>
      </c>
      <c r="D48" s="20"/>
      <c r="E48" s="32"/>
      <c r="F48" s="16" t="s">
        <v>86</v>
      </c>
      <c r="G48" s="33">
        <v>3125</v>
      </c>
      <c r="H48" s="51">
        <v>5</v>
      </c>
      <c r="I48" s="69" t="s">
        <v>87</v>
      </c>
      <c r="J48" s="72" t="s">
        <v>25</v>
      </c>
      <c r="K48" s="155"/>
      <c r="L48" s="71" t="s">
        <v>88</v>
      </c>
      <c r="M48" s="45"/>
      <c r="N48" s="39">
        <f>H48*(K48*0.0001)</f>
        <v>0</v>
      </c>
      <c r="O48" s="39"/>
      <c r="P48" s="39"/>
      <c r="Q48" s="39"/>
      <c r="R48" s="39"/>
      <c r="U48" s="181" t="s">
        <v>61</v>
      </c>
      <c r="V48" s="181"/>
    </row>
    <row r="49" spans="1:22" s="35" customFormat="1" ht="18.75" customHeight="1" thickBot="1" x14ac:dyDescent="0.25">
      <c r="A49" s="22" t="s">
        <v>89</v>
      </c>
      <c r="B49" s="157" t="s">
        <v>90</v>
      </c>
      <c r="C49" s="20">
        <v>11</v>
      </c>
      <c r="D49" s="17"/>
      <c r="E49" s="32" t="s">
        <v>91</v>
      </c>
      <c r="F49" s="16" t="s">
        <v>92</v>
      </c>
      <c r="G49" s="33">
        <v>3125</v>
      </c>
      <c r="H49" s="51">
        <v>5</v>
      </c>
      <c r="I49" s="69" t="s">
        <v>87</v>
      </c>
      <c r="J49" s="72" t="s">
        <v>25</v>
      </c>
      <c r="K49" s="73"/>
      <c r="L49" s="71" t="s">
        <v>88</v>
      </c>
      <c r="M49" s="45"/>
      <c r="N49" s="39">
        <f>H49*(K49*0.0001)</f>
        <v>0</v>
      </c>
      <c r="O49" s="39"/>
      <c r="P49" s="39"/>
      <c r="Q49" s="39"/>
      <c r="R49" s="39"/>
      <c r="U49" s="181" t="s">
        <v>61</v>
      </c>
      <c r="V49" s="181"/>
    </row>
    <row r="50" spans="1:22" s="35" customFormat="1" ht="18" customHeight="1" thickBot="1" x14ac:dyDescent="0.25">
      <c r="A50" s="22" t="s">
        <v>93</v>
      </c>
      <c r="B50" s="157" t="s">
        <v>94</v>
      </c>
      <c r="C50" s="17" t="s">
        <v>95</v>
      </c>
      <c r="D50" s="17" t="s">
        <v>63</v>
      </c>
      <c r="E50" s="32"/>
      <c r="F50" s="16" t="s">
        <v>96</v>
      </c>
      <c r="G50" s="33">
        <v>3125</v>
      </c>
      <c r="H50" s="51">
        <v>2.5</v>
      </c>
      <c r="I50" s="69" t="s">
        <v>97</v>
      </c>
      <c r="J50" s="72" t="s">
        <v>25</v>
      </c>
      <c r="K50" s="73"/>
      <c r="L50" s="80" t="s">
        <v>76</v>
      </c>
      <c r="M50" s="45"/>
      <c r="N50" s="39">
        <f>H50*((K50*1)*0.0001)</f>
        <v>0</v>
      </c>
      <c r="O50" s="39"/>
      <c r="P50" s="39"/>
      <c r="Q50" s="39"/>
      <c r="R50" s="39"/>
      <c r="U50" s="172">
        <v>132</v>
      </c>
      <c r="V50" s="176" t="s">
        <v>98</v>
      </c>
    </row>
    <row r="51" spans="1:22" s="35" customFormat="1" ht="30.75" customHeight="1" thickBot="1" x14ac:dyDescent="0.25">
      <c r="A51" s="22" t="s">
        <v>99</v>
      </c>
      <c r="B51" s="157" t="s">
        <v>100</v>
      </c>
      <c r="C51" s="17" t="s">
        <v>101</v>
      </c>
      <c r="D51" s="17"/>
      <c r="E51" s="32"/>
      <c r="F51" s="16" t="s">
        <v>102</v>
      </c>
      <c r="G51" s="33">
        <v>3125</v>
      </c>
      <c r="H51" s="51">
        <v>5</v>
      </c>
      <c r="I51" s="69" t="s">
        <v>87</v>
      </c>
      <c r="J51" s="72" t="s">
        <v>25</v>
      </c>
      <c r="K51" s="73"/>
      <c r="L51" s="80" t="s">
        <v>76</v>
      </c>
      <c r="M51" s="45"/>
      <c r="N51" s="39">
        <f>H51*((K51*1)*0.0001)</f>
        <v>0</v>
      </c>
      <c r="O51" s="39"/>
      <c r="P51" s="39"/>
      <c r="Q51" s="39"/>
      <c r="R51" s="39"/>
      <c r="U51" s="172">
        <v>112</v>
      </c>
      <c r="V51" s="176" t="s">
        <v>96</v>
      </c>
    </row>
    <row r="52" spans="1:22" s="35" customFormat="1" ht="51.75" customHeight="1" thickBot="1" x14ac:dyDescent="0.25">
      <c r="A52" s="22" t="s">
        <v>103</v>
      </c>
      <c r="B52" s="157" t="s">
        <v>104</v>
      </c>
      <c r="C52" s="21" t="s">
        <v>122</v>
      </c>
      <c r="D52" s="17"/>
      <c r="E52" s="32" t="s">
        <v>105</v>
      </c>
      <c r="F52" s="16" t="s">
        <v>106</v>
      </c>
      <c r="G52" s="33">
        <v>115.6</v>
      </c>
      <c r="H52" s="51">
        <v>0.09</v>
      </c>
      <c r="I52" s="69" t="s">
        <v>107</v>
      </c>
      <c r="J52" s="72" t="s">
        <v>25</v>
      </c>
      <c r="K52" s="73"/>
      <c r="L52" s="74" t="s">
        <v>26</v>
      </c>
      <c r="M52" s="46"/>
      <c r="N52" s="39">
        <f t="shared" ref="N52:N53" si="2">H52*K52</f>
        <v>0</v>
      </c>
      <c r="O52" s="39"/>
      <c r="P52" s="39"/>
      <c r="Q52" s="39"/>
      <c r="R52" s="39"/>
      <c r="U52" s="172" t="s">
        <v>273</v>
      </c>
      <c r="V52" s="172" t="s">
        <v>272</v>
      </c>
    </row>
    <row r="53" spans="1:22" s="35" customFormat="1" ht="31.5" customHeight="1" thickBot="1" x14ac:dyDescent="0.25">
      <c r="A53" s="22" t="s">
        <v>108</v>
      </c>
      <c r="B53" s="157" t="s">
        <v>109</v>
      </c>
      <c r="C53" s="17" t="s">
        <v>110</v>
      </c>
      <c r="D53" s="17" t="s">
        <v>63</v>
      </c>
      <c r="E53" s="32" t="s">
        <v>111</v>
      </c>
      <c r="F53" s="16" t="s">
        <v>110</v>
      </c>
      <c r="G53" s="33">
        <v>379.8</v>
      </c>
      <c r="H53" s="51">
        <v>0.3</v>
      </c>
      <c r="I53" s="69" t="s">
        <v>112</v>
      </c>
      <c r="J53" s="72" t="s">
        <v>25</v>
      </c>
      <c r="K53" s="73"/>
      <c r="L53" s="71" t="s">
        <v>26</v>
      </c>
      <c r="M53" s="45"/>
      <c r="N53" s="39">
        <f t="shared" si="2"/>
        <v>0</v>
      </c>
      <c r="O53" s="39"/>
      <c r="P53" s="39"/>
      <c r="Q53" s="39"/>
      <c r="R53" s="39"/>
      <c r="U53" s="181" t="s">
        <v>61</v>
      </c>
      <c r="V53" s="181"/>
    </row>
    <row r="54" spans="1:22" s="35" customFormat="1" ht="31.5" hidden="1" customHeight="1" thickBot="1" x14ac:dyDescent="0.25">
      <c r="A54" s="161" t="s">
        <v>298</v>
      </c>
      <c r="B54" s="157" t="s">
        <v>113</v>
      </c>
      <c r="C54" s="160" t="s">
        <v>35</v>
      </c>
      <c r="D54" s="160"/>
      <c r="E54" s="162" t="s">
        <v>55</v>
      </c>
      <c r="F54" s="163"/>
      <c r="G54" s="164">
        <f>G41</f>
        <v>649.70000000000005</v>
      </c>
      <c r="H54" s="165">
        <v>0.39</v>
      </c>
      <c r="I54" s="166" t="s">
        <v>114</v>
      </c>
      <c r="J54" s="159" t="s">
        <v>36</v>
      </c>
      <c r="K54" s="167"/>
      <c r="L54" s="168" t="s">
        <v>26</v>
      </c>
      <c r="M54" s="169"/>
      <c r="N54" s="170"/>
      <c r="O54" s="170"/>
      <c r="P54" s="170"/>
      <c r="Q54" s="170"/>
      <c r="R54" s="170"/>
      <c r="S54" s="171"/>
      <c r="T54" s="171"/>
      <c r="U54" s="172" t="s">
        <v>115</v>
      </c>
      <c r="V54" s="172">
        <v>100</v>
      </c>
    </row>
    <row r="55" spans="1:22" ht="33.75" customHeight="1" thickBot="1" x14ac:dyDescent="0.25">
      <c r="A55" s="191" t="s">
        <v>116</v>
      </c>
      <c r="B55" s="192"/>
      <c r="C55" s="192"/>
      <c r="D55" s="192"/>
      <c r="E55" s="192"/>
      <c r="F55" s="192"/>
      <c r="G55" s="192"/>
      <c r="H55" s="192"/>
      <c r="I55" s="192"/>
      <c r="J55" s="195"/>
      <c r="K55" s="195"/>
      <c r="L55" s="194"/>
      <c r="M55" s="42"/>
      <c r="N55" s="43"/>
      <c r="O55" s="178"/>
      <c r="P55" s="178"/>
      <c r="Q55" s="178"/>
      <c r="R55" s="178"/>
      <c r="U55" s="184"/>
      <c r="V55" s="184"/>
    </row>
    <row r="56" spans="1:22" s="35" customFormat="1" ht="18.75" customHeight="1" thickBot="1" x14ac:dyDescent="0.25">
      <c r="A56" s="22" t="s">
        <v>117</v>
      </c>
      <c r="B56" s="157" t="s">
        <v>118</v>
      </c>
      <c r="C56" s="20">
        <v>14</v>
      </c>
      <c r="D56" s="17"/>
      <c r="E56" s="32" t="s">
        <v>119</v>
      </c>
      <c r="F56" s="16" t="s">
        <v>120</v>
      </c>
      <c r="G56" s="33">
        <f>(424+180)/2</f>
        <v>302</v>
      </c>
      <c r="H56" s="56">
        <v>0.24</v>
      </c>
      <c r="I56" s="70" t="s">
        <v>121</v>
      </c>
      <c r="J56" s="72" t="s">
        <v>25</v>
      </c>
      <c r="K56" s="73"/>
      <c r="L56" s="71" t="s">
        <v>26</v>
      </c>
      <c r="M56" s="45"/>
      <c r="N56" s="39">
        <f t="shared" ref="N56:N61" si="3">H56*K56</f>
        <v>0</v>
      </c>
      <c r="O56" s="39"/>
      <c r="P56" s="39"/>
      <c r="Q56" s="39"/>
      <c r="R56" s="39"/>
      <c r="U56" s="172">
        <v>107</v>
      </c>
      <c r="V56" s="172" t="s">
        <v>122</v>
      </c>
    </row>
    <row r="57" spans="1:22" s="35" customFormat="1" ht="19.5" customHeight="1" thickBot="1" x14ac:dyDescent="0.25">
      <c r="A57" s="22" t="s">
        <v>123</v>
      </c>
      <c r="B57" s="157" t="s">
        <v>124</v>
      </c>
      <c r="C57" s="20">
        <v>15</v>
      </c>
      <c r="D57" s="17"/>
      <c r="E57" s="32" t="s">
        <v>119</v>
      </c>
      <c r="F57" s="16" t="s">
        <v>125</v>
      </c>
      <c r="G57" s="33">
        <f>(2530.38+2012.65)/2</f>
        <v>2271.5150000000003</v>
      </c>
      <c r="H57" s="56">
        <v>1.82</v>
      </c>
      <c r="I57" s="70" t="s">
        <v>126</v>
      </c>
      <c r="J57" s="72" t="s">
        <v>25</v>
      </c>
      <c r="K57" s="73"/>
      <c r="L57" s="71" t="s">
        <v>26</v>
      </c>
      <c r="M57" s="45"/>
      <c r="N57" s="39">
        <f t="shared" si="3"/>
        <v>0</v>
      </c>
      <c r="O57" s="39"/>
      <c r="P57" s="39"/>
      <c r="Q57" s="39"/>
      <c r="R57" s="39"/>
      <c r="U57" s="172">
        <v>107</v>
      </c>
      <c r="V57" s="172" t="s">
        <v>122</v>
      </c>
    </row>
    <row r="58" spans="1:22" s="35" customFormat="1" ht="17.25" customHeight="1" thickBot="1" x14ac:dyDescent="0.25">
      <c r="A58" s="22" t="s">
        <v>127</v>
      </c>
      <c r="B58" s="160" t="s">
        <v>128</v>
      </c>
      <c r="C58" s="20">
        <v>16</v>
      </c>
      <c r="D58" s="17" t="s">
        <v>63</v>
      </c>
      <c r="E58" s="32" t="s">
        <v>119</v>
      </c>
      <c r="F58" s="16" t="s">
        <v>129</v>
      </c>
      <c r="G58" s="33">
        <f>(1932+1538+2530.38+2012.65)/4</f>
        <v>2003.2575000000002</v>
      </c>
      <c r="H58" s="56">
        <v>1.6</v>
      </c>
      <c r="I58" s="75" t="s">
        <v>130</v>
      </c>
      <c r="J58" s="72" t="s">
        <v>25</v>
      </c>
      <c r="K58" s="73"/>
      <c r="L58" s="71" t="s">
        <v>26</v>
      </c>
      <c r="M58" s="45"/>
      <c r="N58" s="39">
        <f t="shared" si="3"/>
        <v>0</v>
      </c>
      <c r="O58" s="39"/>
      <c r="P58" s="39"/>
      <c r="Q58" s="39"/>
      <c r="R58" s="39"/>
      <c r="U58" s="172">
        <v>107</v>
      </c>
      <c r="V58" s="172" t="s">
        <v>122</v>
      </c>
    </row>
    <row r="59" spans="1:22" s="35" customFormat="1" ht="17.25" customHeight="1" thickBot="1" x14ac:dyDescent="0.25">
      <c r="A59" s="22" t="s">
        <v>131</v>
      </c>
      <c r="B59" s="160" t="s">
        <v>132</v>
      </c>
      <c r="C59" s="20">
        <v>17</v>
      </c>
      <c r="D59" s="17"/>
      <c r="E59" s="32" t="s">
        <v>119</v>
      </c>
      <c r="F59" s="16" t="s">
        <v>133</v>
      </c>
      <c r="G59" s="33">
        <v>2324.48</v>
      </c>
      <c r="H59" s="56">
        <v>1.86</v>
      </c>
      <c r="I59" s="70" t="s">
        <v>134</v>
      </c>
      <c r="J59" s="72" t="s">
        <v>25</v>
      </c>
      <c r="K59" s="73"/>
      <c r="L59" s="71" t="s">
        <v>26</v>
      </c>
      <c r="M59" s="45"/>
      <c r="N59" s="39">
        <f t="shared" si="3"/>
        <v>0</v>
      </c>
      <c r="O59" s="39"/>
      <c r="P59" s="39"/>
      <c r="Q59" s="39"/>
      <c r="R59" s="39"/>
      <c r="U59" s="172">
        <v>107</v>
      </c>
      <c r="V59" s="172" t="s">
        <v>122</v>
      </c>
    </row>
    <row r="60" spans="1:22" s="35" customFormat="1" ht="18.75" customHeight="1" thickBot="1" x14ac:dyDescent="0.25">
      <c r="A60" s="22" t="s">
        <v>135</v>
      </c>
      <c r="B60" s="160" t="s">
        <v>136</v>
      </c>
      <c r="C60" s="20">
        <v>18</v>
      </c>
      <c r="D60" s="17"/>
      <c r="E60" s="32" t="s">
        <v>119</v>
      </c>
      <c r="F60" s="16">
        <v>18</v>
      </c>
      <c r="G60" s="33">
        <v>1978.16</v>
      </c>
      <c r="H60" s="56">
        <v>1.58</v>
      </c>
      <c r="I60" s="70" t="s">
        <v>137</v>
      </c>
      <c r="J60" s="72" t="s">
        <v>25</v>
      </c>
      <c r="K60" s="73"/>
      <c r="L60" s="71" t="s">
        <v>26</v>
      </c>
      <c r="M60" s="45"/>
      <c r="N60" s="39">
        <f t="shared" si="3"/>
        <v>0</v>
      </c>
      <c r="O60" s="39"/>
      <c r="P60" s="39"/>
      <c r="Q60" s="39"/>
      <c r="R60" s="39"/>
      <c r="U60" s="172">
        <v>107</v>
      </c>
      <c r="V60" s="172" t="s">
        <v>122</v>
      </c>
    </row>
    <row r="61" spans="1:22" s="35" customFormat="1" ht="20.25" customHeight="1" thickBot="1" x14ac:dyDescent="0.25">
      <c r="A61" s="18" t="s">
        <v>138</v>
      </c>
      <c r="B61" s="158" t="s">
        <v>139</v>
      </c>
      <c r="C61" s="20">
        <v>19</v>
      </c>
      <c r="D61" s="21" t="s">
        <v>63</v>
      </c>
      <c r="E61" s="32" t="s">
        <v>119</v>
      </c>
      <c r="F61" s="16" t="s">
        <v>140</v>
      </c>
      <c r="G61" s="33">
        <f>(2530.38+2012.65)/2</f>
        <v>2271.5150000000003</v>
      </c>
      <c r="H61" s="56">
        <v>1.82</v>
      </c>
      <c r="I61" s="70" t="s">
        <v>141</v>
      </c>
      <c r="J61" s="72" t="s">
        <v>25</v>
      </c>
      <c r="K61" s="73"/>
      <c r="L61" s="76" t="s">
        <v>26</v>
      </c>
      <c r="M61" s="47"/>
      <c r="N61" s="39">
        <f t="shared" si="3"/>
        <v>0</v>
      </c>
      <c r="O61" s="39"/>
      <c r="P61" s="39"/>
      <c r="Q61" s="39"/>
      <c r="R61" s="39"/>
      <c r="U61" s="181" t="s">
        <v>61</v>
      </c>
      <c r="V61" s="181"/>
    </row>
    <row r="62" spans="1:22" ht="36.75" customHeight="1" thickBot="1" x14ac:dyDescent="0.25">
      <c r="A62" s="191" t="s">
        <v>142</v>
      </c>
      <c r="B62" s="192"/>
      <c r="C62" s="192"/>
      <c r="D62" s="192"/>
      <c r="E62" s="192"/>
      <c r="F62" s="192"/>
      <c r="G62" s="192"/>
      <c r="H62" s="192"/>
      <c r="I62" s="192"/>
      <c r="J62" s="195"/>
      <c r="K62" s="195"/>
      <c r="L62" s="194"/>
      <c r="M62" s="42"/>
      <c r="N62" s="43"/>
      <c r="O62" s="178"/>
      <c r="P62" s="178"/>
      <c r="Q62" s="178"/>
      <c r="R62" s="178"/>
      <c r="S62" s="12"/>
      <c r="U62" s="184"/>
      <c r="V62" s="184"/>
    </row>
    <row r="63" spans="1:22" s="35" customFormat="1" ht="15.75" customHeight="1" thickBot="1" x14ac:dyDescent="0.25">
      <c r="A63" s="22" t="s">
        <v>143</v>
      </c>
      <c r="B63" s="157" t="s">
        <v>144</v>
      </c>
      <c r="C63" s="20">
        <v>9</v>
      </c>
      <c r="D63" s="17"/>
      <c r="E63" s="32"/>
      <c r="F63" s="16"/>
      <c r="G63" s="33">
        <v>3125</v>
      </c>
      <c r="H63" s="34">
        <v>5</v>
      </c>
      <c r="I63" s="69" t="s">
        <v>87</v>
      </c>
      <c r="J63" s="72" t="s">
        <v>25</v>
      </c>
      <c r="K63" s="73"/>
      <c r="L63" s="71" t="s">
        <v>88</v>
      </c>
      <c r="M63" s="45"/>
      <c r="N63" s="39">
        <f>H63*(K63*0.0001)</f>
        <v>0</v>
      </c>
      <c r="O63" s="39"/>
      <c r="P63" s="39"/>
      <c r="Q63" s="39"/>
      <c r="R63" s="39"/>
      <c r="U63" s="181" t="s">
        <v>61</v>
      </c>
      <c r="V63" s="181"/>
    </row>
    <row r="64" spans="1:22" s="35" customFormat="1" ht="15.75" customHeight="1" thickBot="1" x14ac:dyDescent="0.25">
      <c r="A64" s="22" t="s">
        <v>145</v>
      </c>
      <c r="B64" s="157" t="s">
        <v>146</v>
      </c>
      <c r="C64" s="20">
        <v>20</v>
      </c>
      <c r="D64" s="17"/>
      <c r="E64" s="32"/>
      <c r="F64" s="16"/>
      <c r="G64" s="33">
        <v>3125</v>
      </c>
      <c r="H64" s="34">
        <v>5</v>
      </c>
      <c r="I64" s="69" t="s">
        <v>87</v>
      </c>
      <c r="J64" s="72" t="s">
        <v>25</v>
      </c>
      <c r="K64" s="73"/>
      <c r="L64" s="71" t="s">
        <v>88</v>
      </c>
      <c r="M64" s="45"/>
      <c r="N64" s="39">
        <f>H64*(K64*0.0001)</f>
        <v>0</v>
      </c>
      <c r="O64" s="39"/>
      <c r="P64" s="39"/>
      <c r="Q64" s="39"/>
      <c r="R64" s="39"/>
      <c r="U64" s="181" t="s">
        <v>61</v>
      </c>
      <c r="V64" s="181"/>
    </row>
    <row r="65" spans="1:22" s="35" customFormat="1" ht="18" customHeight="1" thickBot="1" x14ac:dyDescent="0.25">
      <c r="A65" s="23" t="s">
        <v>147</v>
      </c>
      <c r="B65" s="158" t="s">
        <v>148</v>
      </c>
      <c r="C65" s="20">
        <v>21</v>
      </c>
      <c r="D65" s="17"/>
      <c r="E65" s="32" t="s">
        <v>149</v>
      </c>
      <c r="F65" s="16"/>
      <c r="G65" s="33">
        <v>3125</v>
      </c>
      <c r="H65" s="34">
        <v>5</v>
      </c>
      <c r="I65" s="69" t="s">
        <v>150</v>
      </c>
      <c r="J65" s="72" t="s">
        <v>25</v>
      </c>
      <c r="K65" s="73"/>
      <c r="L65" s="71" t="s">
        <v>151</v>
      </c>
      <c r="M65" s="45"/>
      <c r="N65" s="39">
        <f>H65*(K65*0.0005)</f>
        <v>0</v>
      </c>
      <c r="O65" s="39"/>
      <c r="P65" s="39"/>
      <c r="Q65" s="39"/>
      <c r="R65" s="39"/>
      <c r="U65" s="181" t="s">
        <v>61</v>
      </c>
      <c r="V65" s="181"/>
    </row>
    <row r="66" spans="1:22" s="35" customFormat="1" ht="98.25" customHeight="1" thickBot="1" x14ac:dyDescent="0.25">
      <c r="A66" s="19" t="s">
        <v>152</v>
      </c>
      <c r="B66" s="157" t="s">
        <v>153</v>
      </c>
      <c r="C66" s="20">
        <v>25</v>
      </c>
      <c r="D66" s="20"/>
      <c r="E66" s="19" t="s">
        <v>154</v>
      </c>
      <c r="F66" s="21"/>
      <c r="G66" s="50">
        <v>3125</v>
      </c>
      <c r="H66" s="51">
        <v>5</v>
      </c>
      <c r="I66" s="69" t="s">
        <v>150</v>
      </c>
      <c r="J66" s="72" t="s">
        <v>25</v>
      </c>
      <c r="K66" s="73"/>
      <c r="L66" s="76" t="s">
        <v>151</v>
      </c>
      <c r="M66" s="47"/>
      <c r="N66" s="39">
        <f>H66*(K66*0.01)</f>
        <v>0</v>
      </c>
      <c r="O66" s="39"/>
      <c r="P66" s="39"/>
      <c r="Q66" s="39"/>
      <c r="R66" s="39"/>
      <c r="U66" s="181" t="s">
        <v>61</v>
      </c>
      <c r="V66" s="181"/>
    </row>
    <row r="67" spans="1:22" s="35" customFormat="1" ht="17.25" customHeight="1" thickBot="1" x14ac:dyDescent="0.25">
      <c r="A67" s="22" t="s">
        <v>155</v>
      </c>
      <c r="B67" s="157" t="s">
        <v>156</v>
      </c>
      <c r="C67" s="20">
        <v>22</v>
      </c>
      <c r="D67" s="17" t="s">
        <v>63</v>
      </c>
      <c r="E67" s="32"/>
      <c r="F67" s="16"/>
      <c r="G67" s="33">
        <v>3125</v>
      </c>
      <c r="H67" s="34">
        <v>5</v>
      </c>
      <c r="I67" s="69" t="s">
        <v>87</v>
      </c>
      <c r="J67" s="72" t="s">
        <v>25</v>
      </c>
      <c r="K67" s="73"/>
      <c r="L67" s="71" t="s">
        <v>88</v>
      </c>
      <c r="M67" s="45"/>
      <c r="N67" s="39">
        <f>H67*(K67*0.0001)</f>
        <v>0</v>
      </c>
      <c r="O67" s="39"/>
      <c r="P67" s="39"/>
      <c r="Q67" s="39"/>
      <c r="R67" s="39"/>
      <c r="U67" s="181" t="s">
        <v>61</v>
      </c>
      <c r="V67" s="181"/>
    </row>
    <row r="68" spans="1:22" s="35" customFormat="1" ht="17.25" customHeight="1" thickBot="1" x14ac:dyDescent="0.25">
      <c r="A68" s="22" t="s">
        <v>157</v>
      </c>
      <c r="B68" s="157" t="s">
        <v>158</v>
      </c>
      <c r="C68" s="20">
        <v>23</v>
      </c>
      <c r="D68" s="17"/>
      <c r="E68" s="32"/>
      <c r="F68" s="16"/>
      <c r="G68" s="33">
        <v>3125</v>
      </c>
      <c r="H68" s="34">
        <v>5</v>
      </c>
      <c r="I68" s="69" t="s">
        <v>87</v>
      </c>
      <c r="J68" s="72" t="s">
        <v>25</v>
      </c>
      <c r="K68" s="73"/>
      <c r="L68" s="71" t="s">
        <v>88</v>
      </c>
      <c r="M68" s="45"/>
      <c r="N68" s="39">
        <f>H68*(K68*0.0001)</f>
        <v>0</v>
      </c>
      <c r="O68" s="39"/>
      <c r="P68" s="39"/>
      <c r="Q68" s="39"/>
      <c r="R68" s="39"/>
      <c r="U68" s="181" t="s">
        <v>61</v>
      </c>
      <c r="V68" s="181"/>
    </row>
    <row r="69" spans="1:22" s="35" customFormat="1" ht="17.25" customHeight="1" thickBot="1" x14ac:dyDescent="0.25">
      <c r="A69" s="19" t="s">
        <v>159</v>
      </c>
      <c r="B69" s="157" t="s">
        <v>160</v>
      </c>
      <c r="C69" s="20">
        <v>24</v>
      </c>
      <c r="D69" s="20"/>
      <c r="E69" s="32"/>
      <c r="F69" s="16"/>
      <c r="G69" s="33">
        <v>3125</v>
      </c>
      <c r="H69" s="34">
        <v>5</v>
      </c>
      <c r="I69" s="69" t="s">
        <v>87</v>
      </c>
      <c r="J69" s="72" t="s">
        <v>25</v>
      </c>
      <c r="K69" s="73"/>
      <c r="L69" s="71" t="s">
        <v>88</v>
      </c>
      <c r="M69" s="47"/>
      <c r="N69" s="39">
        <f>H69*(K69*0.0001)</f>
        <v>0</v>
      </c>
      <c r="O69" s="39"/>
      <c r="P69" s="39"/>
      <c r="Q69" s="39"/>
      <c r="R69" s="39"/>
      <c r="U69" s="181" t="s">
        <v>61</v>
      </c>
      <c r="V69" s="181"/>
    </row>
    <row r="70" spans="1:22" s="35" customFormat="1" ht="16.5" customHeight="1" thickBot="1" x14ac:dyDescent="0.25">
      <c r="A70" s="22" t="s">
        <v>161</v>
      </c>
      <c r="B70" s="157" t="s">
        <v>162</v>
      </c>
      <c r="C70" s="20">
        <v>26</v>
      </c>
      <c r="D70" s="17" t="s">
        <v>63</v>
      </c>
      <c r="E70" s="32"/>
      <c r="F70" s="16"/>
      <c r="G70" s="33">
        <v>1618.31</v>
      </c>
      <c r="H70" s="34">
        <v>5</v>
      </c>
      <c r="I70" s="69" t="s">
        <v>87</v>
      </c>
      <c r="J70" s="72" t="s">
        <v>25</v>
      </c>
      <c r="K70" s="73"/>
      <c r="L70" s="71" t="s">
        <v>26</v>
      </c>
      <c r="M70" s="45"/>
      <c r="N70" s="39">
        <f>H70*K70</f>
        <v>0</v>
      </c>
      <c r="O70" s="39"/>
      <c r="P70" s="39"/>
      <c r="Q70" s="39"/>
      <c r="R70" s="39"/>
      <c r="U70" s="181" t="s">
        <v>61</v>
      </c>
      <c r="V70" s="181"/>
    </row>
    <row r="71" spans="1:22" s="35" customFormat="1" ht="17.25" customHeight="1" thickBot="1" x14ac:dyDescent="0.25">
      <c r="A71" s="23" t="s">
        <v>163</v>
      </c>
      <c r="B71" s="158" t="s">
        <v>164</v>
      </c>
      <c r="C71" s="20">
        <v>27</v>
      </c>
      <c r="D71" s="17"/>
      <c r="E71" s="32"/>
      <c r="F71" s="16"/>
      <c r="G71" s="33">
        <v>3125</v>
      </c>
      <c r="H71" s="34">
        <v>5</v>
      </c>
      <c r="I71" s="69" t="s">
        <v>87</v>
      </c>
      <c r="J71" s="72" t="s">
        <v>25</v>
      </c>
      <c r="K71" s="73"/>
      <c r="L71" s="71" t="s">
        <v>26</v>
      </c>
      <c r="M71" s="45"/>
      <c r="N71" s="39">
        <f t="shared" ref="N71:N73" si="4">H71*K71</f>
        <v>0</v>
      </c>
      <c r="O71" s="39"/>
      <c r="P71" s="39"/>
      <c r="Q71" s="39"/>
      <c r="R71" s="39"/>
      <c r="U71" s="181" t="s">
        <v>61</v>
      </c>
      <c r="V71" s="181"/>
    </row>
    <row r="72" spans="1:22" s="35" customFormat="1" ht="17.25" customHeight="1" thickBot="1" x14ac:dyDescent="0.25">
      <c r="A72" s="23" t="s">
        <v>165</v>
      </c>
      <c r="B72" s="158" t="s">
        <v>166</v>
      </c>
      <c r="C72" s="20">
        <v>28</v>
      </c>
      <c r="D72" s="17"/>
      <c r="E72" s="32"/>
      <c r="F72" s="16"/>
      <c r="G72" s="33">
        <v>3125</v>
      </c>
      <c r="H72" s="34">
        <v>5</v>
      </c>
      <c r="I72" s="69" t="s">
        <v>87</v>
      </c>
      <c r="J72" s="72" t="s">
        <v>25</v>
      </c>
      <c r="K72" s="73"/>
      <c r="L72" s="71" t="s">
        <v>26</v>
      </c>
      <c r="M72" s="45"/>
      <c r="N72" s="39">
        <f t="shared" si="4"/>
        <v>0</v>
      </c>
      <c r="O72" s="39"/>
      <c r="P72" s="39"/>
      <c r="Q72" s="39"/>
      <c r="R72" s="39"/>
      <c r="U72" s="181" t="s">
        <v>61</v>
      </c>
      <c r="V72" s="181"/>
    </row>
    <row r="73" spans="1:22" s="35" customFormat="1" ht="17.25" customHeight="1" thickBot="1" x14ac:dyDescent="0.25">
      <c r="A73" s="22" t="s">
        <v>167</v>
      </c>
      <c r="B73" s="157" t="s">
        <v>168</v>
      </c>
      <c r="C73" s="20">
        <v>29</v>
      </c>
      <c r="D73" s="17" t="s">
        <v>63</v>
      </c>
      <c r="E73" s="32"/>
      <c r="F73" s="16"/>
      <c r="G73" s="33">
        <v>3125</v>
      </c>
      <c r="H73" s="34">
        <v>5</v>
      </c>
      <c r="I73" s="69" t="s">
        <v>87</v>
      </c>
      <c r="J73" s="72" t="s">
        <v>25</v>
      </c>
      <c r="K73" s="73"/>
      <c r="L73" s="76" t="s">
        <v>26</v>
      </c>
      <c r="M73" s="47"/>
      <c r="N73" s="39">
        <f t="shared" si="4"/>
        <v>0</v>
      </c>
      <c r="O73" s="39"/>
      <c r="P73" s="39"/>
      <c r="Q73" s="39"/>
      <c r="R73" s="39"/>
      <c r="U73" s="181" t="s">
        <v>61</v>
      </c>
      <c r="V73" s="181"/>
    </row>
    <row r="74" spans="1:22" ht="21.75" customHeight="1" x14ac:dyDescent="0.2">
      <c r="A74" s="186"/>
      <c r="B74" s="186"/>
      <c r="C74" s="186"/>
      <c r="D74" s="186"/>
      <c r="E74" s="186"/>
      <c r="F74" s="186"/>
      <c r="G74" s="186"/>
      <c r="H74" s="186"/>
      <c r="I74" s="186"/>
      <c r="J74" s="187"/>
      <c r="K74" s="187"/>
      <c r="L74" s="186"/>
      <c r="M74" s="48"/>
      <c r="N74" s="12"/>
      <c r="O74" s="12"/>
      <c r="P74" s="12"/>
      <c r="Q74" s="12"/>
      <c r="R74" s="12"/>
      <c r="U74" s="55"/>
      <c r="V74" s="55"/>
    </row>
    <row r="75" spans="1:22" ht="14.25" x14ac:dyDescent="0.2"/>
    <row r="76" spans="1:22" ht="14.25" x14ac:dyDescent="0.2">
      <c r="A76" s="24"/>
      <c r="B76" s="24"/>
      <c r="C76" s="25"/>
      <c r="E76" s="26"/>
      <c r="F76" s="27"/>
      <c r="G76" s="28"/>
      <c r="H76" s="24"/>
      <c r="I76" s="29"/>
      <c r="J76" s="24"/>
      <c r="K76" s="30"/>
      <c r="L76" s="30"/>
      <c r="M76" s="30"/>
      <c r="S76" s="24"/>
    </row>
    <row r="102" spans="2:2" ht="15" customHeight="1" x14ac:dyDescent="0.2">
      <c r="B102" s="154"/>
    </row>
    <row r="103" spans="2:2" ht="15" customHeight="1" x14ac:dyDescent="0.2">
      <c r="B103" s="154"/>
    </row>
    <row r="104" spans="2:2" ht="15" customHeight="1" x14ac:dyDescent="0.2">
      <c r="B104" s="154"/>
    </row>
  </sheetData>
  <sheetProtection algorithmName="SHA-512" hashValue="BstRLZd7ffkbvvM78Va2LnL8E0EX+oaeJZM86lzXUxSjcKCNH3P2Qg+1D59qOnsIBC2ixEkzxlL2rT1m854iIA==" saltValue="nwMbXn+hrgnNoNVxF3n/1w==" spinCount="100000" sheet="1" selectLockedCells="1"/>
  <mergeCells count="40">
    <mergeCell ref="A1:J1"/>
    <mergeCell ref="L14:U14"/>
    <mergeCell ref="A12:U12"/>
    <mergeCell ref="A13:U13"/>
    <mergeCell ref="U25:V25"/>
    <mergeCell ref="H21:H22"/>
    <mergeCell ref="A74:L74"/>
    <mergeCell ref="B2:H2"/>
    <mergeCell ref="B3:H3"/>
    <mergeCell ref="B4:H4"/>
    <mergeCell ref="B5:H5"/>
    <mergeCell ref="B6:H6"/>
    <mergeCell ref="A31:L31"/>
    <mergeCell ref="A39:L39"/>
    <mergeCell ref="A47:L47"/>
    <mergeCell ref="A55:L55"/>
    <mergeCell ref="A62:L62"/>
    <mergeCell ref="A26:L26"/>
    <mergeCell ref="U42:V42"/>
    <mergeCell ref="U48:V48"/>
    <mergeCell ref="U49:V49"/>
    <mergeCell ref="U53:V53"/>
    <mergeCell ref="U61:V61"/>
    <mergeCell ref="U43:V43"/>
    <mergeCell ref="U71:V71"/>
    <mergeCell ref="U72:V72"/>
    <mergeCell ref="U73:V73"/>
    <mergeCell ref="U31:V31"/>
    <mergeCell ref="U68:V68"/>
    <mergeCell ref="U69:V69"/>
    <mergeCell ref="U70:V70"/>
    <mergeCell ref="U63:V63"/>
    <mergeCell ref="U64:V64"/>
    <mergeCell ref="U65:V65"/>
    <mergeCell ref="U66:V66"/>
    <mergeCell ref="U67:V67"/>
    <mergeCell ref="U39:V39"/>
    <mergeCell ref="U47:V47"/>
    <mergeCell ref="U55:V55"/>
    <mergeCell ref="U62:V62"/>
  </mergeCells>
  <conditionalFormatting sqref="L16 H24 L18:L19 J24 U15:U19">
    <cfRule type="cellIs" dxfId="10" priority="5" operator="equal">
      <formula>$T$22</formula>
    </cfRule>
    <cfRule type="cellIs" dxfId="9" priority="6" operator="equal">
      <formula>$S$22</formula>
    </cfRule>
  </conditionalFormatting>
  <conditionalFormatting sqref="L16 U15:U16">
    <cfRule type="cellIs" dxfId="8" priority="4" operator="equal">
      <formula>$S$22</formula>
    </cfRule>
  </conditionalFormatting>
  <conditionalFormatting sqref="B16">
    <cfRule type="cellIs" dxfId="7" priority="2" operator="equal">
      <formula>$T$22</formula>
    </cfRule>
    <cfRule type="cellIs" dxfId="6" priority="3" operator="equal">
      <formula>$S$22</formula>
    </cfRule>
  </conditionalFormatting>
  <conditionalFormatting sqref="B16">
    <cfRule type="cellIs" dxfId="5" priority="1" operator="equal">
      <formula>$S$22</formula>
    </cfRule>
  </conditionalFormatting>
  <dataValidations xWindow="2379" yWindow="716" count="15">
    <dataValidation type="list" allowBlank="1" showInputMessage="1" showErrorMessage="1" sqref="J63:J73 J40:J46 J36:J37 J56:J61 J48:J53 J33:J34" xr:uid="{3E18F32B-CF3A-4BFF-9E92-BD5448F3C19E}">
      <formula1>"Maak keuze, ANLb, BBM, Combinatie"</formula1>
    </dataValidation>
    <dataValidation allowBlank="1" showInputMessage="1" showErrorMessage="1" prompt="GDI perceelsoppervlakte" sqref="K32 K34:K36 K38 K40:K41 K56:K60 K52:K53 K44" xr:uid="{3221B422-9604-4E30-B381-552E7131F337}"/>
    <dataValidation allowBlank="1" showInputMessage="1" showErrorMessage="1" prompt="GDI (lengte keer breedte rand)" sqref="K33 K37 K61" xr:uid="{C9DF004B-DCE1-4899-81AC-FF2A16BC1708}"/>
    <dataValidation allowBlank="1" showInputMessage="1" showErrorMessage="1" prompt="Aantal bomen (ingetekend als 1m2 per boom, berekend als 100m2 per boom) " sqref="K66" xr:uid="{E552AA9F-3186-4420-B964-F1311A8D04AB}"/>
    <dataValidation allowBlank="1" showInputMessage="1" showErrorMessage="1" prompt="Aantal bomen (ingetekend als 1m2 per boom, berekend als 5m2 per boom) " sqref="K65" xr:uid="{E4BF2641-C697-4183-AA29-9E476677D94A}"/>
    <dataValidation allowBlank="1" showInputMessage="1" showErrorMessage="1" prompt="GDI (score telt niet mee voor PlanetProof)" sqref="K43 K54" xr:uid="{B8A63565-EF53-48C8-97A5-B8F406F91B14}"/>
    <dataValidation allowBlank="1" showInputMessage="1" showErrorMessage="1" prompt="Oppervlakte plas-dras " sqref="K42" xr:uid="{F960B736-3732-420D-A771-DD8A9356076F}"/>
    <dataValidation type="list" allowBlank="1" showInputMessage="1" showErrorMessage="1" prompt="er wordt standaard 1 ha berekend " sqref="K27:K30" xr:uid="{5F91A091-FCD7-4D47-8474-3E6F21A0D2FA}">
      <formula1>"Maak keuze,ja,nee"</formula1>
    </dataValidation>
    <dataValidation allowBlank="1" showInputMessage="1" showErrorMessage="1" prompt="Het watervoerend gedeelte, inclusief de oever. Teken werkelijke oppervlak van de oever in. (lengte x breedte)" sqref="K48" xr:uid="{365FF79D-E8E8-4341-B20E-6841B3ABA302}"/>
    <dataValidation allowBlank="1" showInputMessage="1" showErrorMessage="1" prompt="Oppervlakte van het riet(lengte x breedte) " sqref="K49" xr:uid="{0718A4F4-3277-4CC1-B9DE-1722090BA68F}"/>
    <dataValidation allowBlank="1" showInputMessage="1" showErrorMessage="1" prompt="Oppervlakte van het element (lengte x breedte) " sqref="K63:K64 K67:K69" xr:uid="{C53C8B7A-4A30-436E-9B68-580E47913231}"/>
    <dataValidation allowBlank="1" showInputMessage="1" showErrorMessage="1" prompt="Oppervlakte van het element_x000a_" sqref="K70:K73" xr:uid="{2B689872-5A75-4554-8B63-509854AD256F}"/>
    <dataValidation allowBlank="1" showInputMessage="1" showErrorMessage="1" prompt="aantal locaties (per locatie 1000 m2 meegerekend)" sqref="K46" xr:uid="{268C7C71-ED77-4199-B3D0-CEC05C90068A}"/>
    <dataValidation allowBlank="1" showInputMessage="1" showErrorMessage="1" prompt="lengte van de slootkant (oppervlakte wordt automatisch berekend: lengte slootkant x 1 meter breedte)" sqref="K50:K51 K45" xr:uid="{A82F14E6-306F-4EB9-A0E4-C3C02FA97CF9}"/>
    <dataValidation type="list" allowBlank="1" showInputMessage="1" showErrorMessage="1" sqref="J32" xr:uid="{33313B3F-437C-4EAE-AB2C-7C5F8E92980C}">
      <formula1>"Maak keuze, ANLb, BBM, SNL N12.02, Combinatie"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D1257-8AF8-4205-B9E4-A559FE844A51}">
  <sheetPr>
    <tabColor theme="9"/>
  </sheetPr>
  <dimension ref="A1:K182"/>
  <sheetViews>
    <sheetView topLeftCell="A172" workbookViewId="0">
      <selection activeCell="E57" sqref="A57:XFD125"/>
    </sheetView>
  </sheetViews>
  <sheetFormatPr defaultRowHeight="15" x14ac:dyDescent="0.25"/>
  <cols>
    <col min="1" max="1" width="30.28515625" bestFit="1" customWidth="1"/>
    <col min="2" max="2" width="19.140625" bestFit="1" customWidth="1"/>
    <col min="3" max="3" width="67.7109375" bestFit="1" customWidth="1"/>
    <col min="4" max="4" width="16.140625" bestFit="1" customWidth="1"/>
    <col min="5" max="5" width="15.5703125" bestFit="1" customWidth="1"/>
    <col min="6" max="6" width="14.28515625" bestFit="1" customWidth="1"/>
    <col min="7" max="7" width="11.5703125" bestFit="1" customWidth="1"/>
    <col min="8" max="8" width="11.85546875" bestFit="1" customWidth="1"/>
    <col min="9" max="9" width="14.5703125" bestFit="1" customWidth="1"/>
    <col min="10" max="10" width="8.85546875" style="5"/>
  </cols>
  <sheetData>
    <row r="1" spans="1:11" x14ac:dyDescent="0.25">
      <c r="A1" s="10" t="s">
        <v>180</v>
      </c>
      <c r="B1" s="10" t="s">
        <v>181</v>
      </c>
      <c r="C1" s="10" t="s">
        <v>182</v>
      </c>
      <c r="D1" s="10" t="s">
        <v>183</v>
      </c>
      <c r="E1" s="10" t="s">
        <v>184</v>
      </c>
      <c r="F1" s="10" t="s">
        <v>185</v>
      </c>
      <c r="G1" s="10" t="s">
        <v>186</v>
      </c>
      <c r="H1" s="10" t="s">
        <v>187</v>
      </c>
      <c r="I1" s="9" t="s">
        <v>188</v>
      </c>
      <c r="J1" s="8" t="s">
        <v>189</v>
      </c>
      <c r="K1" s="9" t="s">
        <v>190</v>
      </c>
    </row>
    <row r="2" spans="1:11" x14ac:dyDescent="0.25">
      <c r="A2" t="s">
        <v>191</v>
      </c>
      <c r="B2" s="6" t="s">
        <v>58</v>
      </c>
      <c r="C2" s="6" t="s">
        <v>192</v>
      </c>
      <c r="D2" s="6">
        <v>3.0163000000000002</v>
      </c>
      <c r="E2" s="6" t="s">
        <v>193</v>
      </c>
      <c r="F2" s="6" t="s">
        <v>194</v>
      </c>
      <c r="G2" t="s">
        <v>195</v>
      </c>
      <c r="H2" t="s">
        <v>196</v>
      </c>
      <c r="I2" t="e">
        <f>VLOOKUP($B2,'Rekentool Natuur en landschap'!$A$40:$I$73,7,0)*$D2</f>
        <v>#N/A</v>
      </c>
      <c r="J2" t="e">
        <f>VLOOKUP($B2,'Rekentool Natuur en landschap'!$A$40:$I$73,8,0)*$D2</f>
        <v>#N/A</v>
      </c>
      <c r="K2" t="e">
        <f>VLOOKUP($B2,'Rekentool Natuur en landschap'!$A$40:$I$73,9,0)*$D2</f>
        <v>#N/A</v>
      </c>
    </row>
    <row r="3" spans="1:11" x14ac:dyDescent="0.25">
      <c r="A3" t="s">
        <v>191</v>
      </c>
      <c r="B3" s="6" t="s">
        <v>48</v>
      </c>
      <c r="C3" s="6" t="s">
        <v>197</v>
      </c>
      <c r="D3" s="6">
        <v>1.3834</v>
      </c>
      <c r="E3" s="6" t="s">
        <v>193</v>
      </c>
      <c r="F3" s="6" t="s">
        <v>194</v>
      </c>
      <c r="G3" t="s">
        <v>195</v>
      </c>
      <c r="H3" t="s">
        <v>196</v>
      </c>
      <c r="I3" t="e">
        <f>VLOOKUP($B3,'Rekentool Natuur en landschap'!$A$40:$I$73,7,0)*$D3</f>
        <v>#N/A</v>
      </c>
      <c r="J3" t="e">
        <f>VLOOKUP($B3,'Rekentool Natuur en landschap'!$A$40:$I$73,8,0)*$D3</f>
        <v>#N/A</v>
      </c>
      <c r="K3" t="e">
        <f>VLOOKUP($B3,'Rekentool Natuur en landschap'!$A$40:$I$73,9,0)*$D3</f>
        <v>#N/A</v>
      </c>
    </row>
    <row r="4" spans="1:11" x14ac:dyDescent="0.25">
      <c r="A4" t="s">
        <v>191</v>
      </c>
      <c r="B4" s="6" t="s">
        <v>48</v>
      </c>
      <c r="C4" s="6" t="s">
        <v>197</v>
      </c>
      <c r="D4" s="6">
        <v>1.4772000000000001</v>
      </c>
      <c r="E4" s="6" t="s">
        <v>193</v>
      </c>
      <c r="F4" s="6" t="s">
        <v>194</v>
      </c>
      <c r="G4" t="s">
        <v>195</v>
      </c>
      <c r="H4" t="s">
        <v>196</v>
      </c>
      <c r="I4" t="e">
        <f>VLOOKUP($B4,'Rekentool Natuur en landschap'!$A$40:$I$73,7,0)*$D4</f>
        <v>#N/A</v>
      </c>
      <c r="J4" t="e">
        <f>VLOOKUP($B4,'Rekentool Natuur en landschap'!$A$40:$I$73,8,0)*$D4</f>
        <v>#N/A</v>
      </c>
      <c r="K4" t="e">
        <f>VLOOKUP($B4,'Rekentool Natuur en landschap'!$A$40:$I$73,9,0)*$D4</f>
        <v>#N/A</v>
      </c>
    </row>
    <row r="5" spans="1:11" x14ac:dyDescent="0.25">
      <c r="A5" t="s">
        <v>191</v>
      </c>
      <c r="B5" s="6" t="s">
        <v>48</v>
      </c>
      <c r="C5" s="6" t="s">
        <v>197</v>
      </c>
      <c r="D5" s="6">
        <v>2.5304000000000002</v>
      </c>
      <c r="E5" s="6" t="s">
        <v>193</v>
      </c>
      <c r="F5" s="6" t="s">
        <v>194</v>
      </c>
      <c r="G5" t="s">
        <v>195</v>
      </c>
      <c r="H5" t="s">
        <v>196</v>
      </c>
      <c r="I5" t="e">
        <f>VLOOKUP($B5,'Rekentool Natuur en landschap'!$A$40:$I$73,7,0)*$D5</f>
        <v>#N/A</v>
      </c>
      <c r="J5" t="e">
        <f>VLOOKUP($B5,'Rekentool Natuur en landschap'!$A$40:$I$73,8,0)*$D5</f>
        <v>#N/A</v>
      </c>
      <c r="K5" t="e">
        <f>VLOOKUP($B5,'Rekentool Natuur en landschap'!$A$40:$I$73,9,0)*$D5</f>
        <v>#N/A</v>
      </c>
    </row>
    <row r="6" spans="1:11" x14ac:dyDescent="0.25">
      <c r="A6" t="s">
        <v>191</v>
      </c>
      <c r="B6" s="6" t="s">
        <v>48</v>
      </c>
      <c r="C6" s="6" t="s">
        <v>197</v>
      </c>
      <c r="D6" s="6">
        <v>1.9950000000000001</v>
      </c>
      <c r="E6" s="6" t="s">
        <v>193</v>
      </c>
      <c r="F6" s="6" t="s">
        <v>194</v>
      </c>
      <c r="G6" t="s">
        <v>195</v>
      </c>
      <c r="H6" t="s">
        <v>196</v>
      </c>
      <c r="I6" t="e">
        <f>VLOOKUP($B6,'Rekentool Natuur en landschap'!$A$40:$I$73,7,0)*$D6</f>
        <v>#N/A</v>
      </c>
      <c r="J6" t="e">
        <f>VLOOKUP($B6,'Rekentool Natuur en landschap'!$A$40:$I$73,8,0)*$D6</f>
        <v>#N/A</v>
      </c>
      <c r="K6" t="e">
        <f>VLOOKUP($B6,'Rekentool Natuur en landschap'!$A$40:$I$73,9,0)*$D6</f>
        <v>#N/A</v>
      </c>
    </row>
    <row r="7" spans="1:11" x14ac:dyDescent="0.25">
      <c r="A7" t="s">
        <v>191</v>
      </c>
      <c r="B7" s="6" t="s">
        <v>48</v>
      </c>
      <c r="C7" s="6" t="s">
        <v>197</v>
      </c>
      <c r="D7" s="6">
        <v>3.7044999999999999</v>
      </c>
      <c r="E7" s="6" t="s">
        <v>193</v>
      </c>
      <c r="F7" s="6" t="s">
        <v>194</v>
      </c>
      <c r="G7" t="s">
        <v>195</v>
      </c>
      <c r="H7" t="s">
        <v>196</v>
      </c>
      <c r="I7" t="e">
        <f>VLOOKUP($B7,'Rekentool Natuur en landschap'!$A$40:$I$73,7,0)*$D7</f>
        <v>#N/A</v>
      </c>
      <c r="J7" t="e">
        <f>VLOOKUP($B7,'Rekentool Natuur en landschap'!$A$40:$I$73,8,0)*$D7</f>
        <v>#N/A</v>
      </c>
      <c r="K7" t="e">
        <f>VLOOKUP($B7,'Rekentool Natuur en landschap'!$A$40:$I$73,9,0)*$D7</f>
        <v>#N/A</v>
      </c>
    </row>
    <row r="8" spans="1:11" x14ac:dyDescent="0.25">
      <c r="A8" t="s">
        <v>191</v>
      </c>
      <c r="B8" s="6" t="s">
        <v>62</v>
      </c>
      <c r="C8" s="6" t="s">
        <v>198</v>
      </c>
      <c r="D8" s="6">
        <v>4.4241999999999999</v>
      </c>
      <c r="E8" s="6" t="s">
        <v>193</v>
      </c>
      <c r="F8" s="6"/>
      <c r="G8" t="s">
        <v>195</v>
      </c>
      <c r="H8" t="s">
        <v>196</v>
      </c>
      <c r="I8" t="e">
        <f>VLOOKUP($B8,'Rekentool Natuur en landschap'!$A$40:$I$73,7,0)*$D8</f>
        <v>#N/A</v>
      </c>
      <c r="J8" t="e">
        <f>VLOOKUP($B8,'Rekentool Natuur en landschap'!$A$40:$I$73,8,0)*$D8</f>
        <v>#N/A</v>
      </c>
      <c r="K8" t="e">
        <f>VLOOKUP($B8,'Rekentool Natuur en landschap'!$A$40:$I$73,9,0)*$D8</f>
        <v>#N/A</v>
      </c>
    </row>
    <row r="9" spans="1:11" x14ac:dyDescent="0.25">
      <c r="A9" t="s">
        <v>191</v>
      </c>
      <c r="B9" s="6" t="s">
        <v>62</v>
      </c>
      <c r="C9" s="6" t="s">
        <v>198</v>
      </c>
      <c r="D9" s="6">
        <v>2.0611999999999999</v>
      </c>
      <c r="E9" s="6" t="s">
        <v>193</v>
      </c>
      <c r="F9" s="6"/>
      <c r="G9" t="s">
        <v>195</v>
      </c>
      <c r="H9" t="s">
        <v>196</v>
      </c>
      <c r="I9" t="e">
        <f>VLOOKUP($B9,'Rekentool Natuur en landschap'!$A$40:$I$73,7,0)*$D9</f>
        <v>#N/A</v>
      </c>
      <c r="J9" t="e">
        <f>VLOOKUP($B9,'Rekentool Natuur en landschap'!$A$40:$I$73,8,0)*$D9</f>
        <v>#N/A</v>
      </c>
      <c r="K9" t="e">
        <f>VLOOKUP($B9,'Rekentool Natuur en landschap'!$A$40:$I$73,9,0)*$D9</f>
        <v>#N/A</v>
      </c>
    </row>
    <row r="10" spans="1:11" x14ac:dyDescent="0.25">
      <c r="A10" t="s">
        <v>191</v>
      </c>
      <c r="B10" s="6" t="s">
        <v>62</v>
      </c>
      <c r="C10" s="6" t="s">
        <v>198</v>
      </c>
      <c r="D10" s="6">
        <v>2.1627000000000001</v>
      </c>
      <c r="E10" s="6" t="s">
        <v>193</v>
      </c>
      <c r="F10" s="6"/>
      <c r="G10" t="s">
        <v>195</v>
      </c>
      <c r="H10" t="s">
        <v>196</v>
      </c>
      <c r="I10" t="e">
        <f>VLOOKUP($B10,'Rekentool Natuur en landschap'!$A$40:$I$73,7,0)*$D10</f>
        <v>#N/A</v>
      </c>
      <c r="J10" t="e">
        <f>VLOOKUP($B10,'Rekentool Natuur en landschap'!$A$40:$I$73,8,0)*$D10</f>
        <v>#N/A</v>
      </c>
      <c r="K10" t="e">
        <f>VLOOKUP($B10,'Rekentool Natuur en landschap'!$A$40:$I$73,9,0)*$D10</f>
        <v>#N/A</v>
      </c>
    </row>
    <row r="11" spans="1:11" x14ac:dyDescent="0.25">
      <c r="A11" t="s">
        <v>191</v>
      </c>
      <c r="B11" s="6" t="s">
        <v>62</v>
      </c>
      <c r="C11" s="6" t="s">
        <v>198</v>
      </c>
      <c r="D11" s="6">
        <v>2.4618000000000002</v>
      </c>
      <c r="E11" s="6" t="s">
        <v>193</v>
      </c>
      <c r="F11" s="6"/>
      <c r="G11" t="s">
        <v>195</v>
      </c>
      <c r="H11" t="s">
        <v>196</v>
      </c>
      <c r="I11" t="e">
        <f>VLOOKUP($B11,'Rekentool Natuur en landschap'!$A$40:$I$73,7,0)*$D11</f>
        <v>#N/A</v>
      </c>
      <c r="J11" t="e">
        <f>VLOOKUP($B11,'Rekentool Natuur en landschap'!$A$40:$I$73,8,0)*$D11</f>
        <v>#N/A</v>
      </c>
      <c r="K11" t="e">
        <f>VLOOKUP($B11,'Rekentool Natuur en landschap'!$A$40:$I$73,9,0)*$D11</f>
        <v>#N/A</v>
      </c>
    </row>
    <row r="12" spans="1:11" x14ac:dyDescent="0.25">
      <c r="A12" t="s">
        <v>191</v>
      </c>
      <c r="B12" s="6" t="s">
        <v>62</v>
      </c>
      <c r="C12" s="6" t="s">
        <v>198</v>
      </c>
      <c r="D12" s="6">
        <v>1.6565000000000001</v>
      </c>
      <c r="E12" s="6" t="s">
        <v>193</v>
      </c>
      <c r="F12" s="6"/>
      <c r="G12" t="s">
        <v>195</v>
      </c>
      <c r="H12" t="s">
        <v>196</v>
      </c>
      <c r="I12" t="e">
        <f>VLOOKUP($B12,'Rekentool Natuur en landschap'!$A$40:$I$73,7,0)*$D12</f>
        <v>#N/A</v>
      </c>
      <c r="J12" t="e">
        <f>VLOOKUP($B12,'Rekentool Natuur en landschap'!$A$40:$I$73,8,0)*$D12</f>
        <v>#N/A</v>
      </c>
      <c r="K12" t="e">
        <f>VLOOKUP($B12,'Rekentool Natuur en landschap'!$A$40:$I$73,9,0)*$D12</f>
        <v>#N/A</v>
      </c>
    </row>
    <row r="13" spans="1:11" x14ac:dyDescent="0.25">
      <c r="A13" t="s">
        <v>191</v>
      </c>
      <c r="B13" s="6" t="s">
        <v>62</v>
      </c>
      <c r="C13" s="6" t="s">
        <v>198</v>
      </c>
      <c r="D13" s="6">
        <v>2.2829999999999999</v>
      </c>
      <c r="E13" s="6" t="s">
        <v>193</v>
      </c>
      <c r="F13" s="6"/>
      <c r="G13" t="s">
        <v>195</v>
      </c>
      <c r="H13" t="s">
        <v>196</v>
      </c>
      <c r="I13" t="e">
        <f>VLOOKUP($B13,'Rekentool Natuur en landschap'!$A$40:$I$73,7,0)*$D13</f>
        <v>#N/A</v>
      </c>
      <c r="J13" t="e">
        <f>VLOOKUP($B13,'Rekentool Natuur en landschap'!$A$40:$I$73,8,0)*$D13</f>
        <v>#N/A</v>
      </c>
      <c r="K13" t="e">
        <f>VLOOKUP($B13,'Rekentool Natuur en landschap'!$A$40:$I$73,9,0)*$D13</f>
        <v>#N/A</v>
      </c>
    </row>
    <row r="14" spans="1:11" x14ac:dyDescent="0.25">
      <c r="A14" t="s">
        <v>191</v>
      </c>
      <c r="B14" s="6" t="s">
        <v>62</v>
      </c>
      <c r="C14" s="6" t="s">
        <v>198</v>
      </c>
      <c r="D14" s="6">
        <v>4.6379000000000001</v>
      </c>
      <c r="E14" s="6" t="s">
        <v>193</v>
      </c>
      <c r="F14" s="6"/>
      <c r="G14" t="s">
        <v>195</v>
      </c>
      <c r="H14" t="s">
        <v>196</v>
      </c>
      <c r="I14" t="e">
        <f>VLOOKUP($B14,'Rekentool Natuur en landschap'!$A$40:$I$73,7,0)*$D14</f>
        <v>#N/A</v>
      </c>
      <c r="J14" t="e">
        <f>VLOOKUP($B14,'Rekentool Natuur en landschap'!$A$40:$I$73,8,0)*$D14</f>
        <v>#N/A</v>
      </c>
      <c r="K14" t="e">
        <f>VLOOKUP($B14,'Rekentool Natuur en landschap'!$A$40:$I$73,9,0)*$D14</f>
        <v>#N/A</v>
      </c>
    </row>
    <row r="15" spans="1:11" x14ac:dyDescent="0.25">
      <c r="A15" t="s">
        <v>199</v>
      </c>
      <c r="B15" s="6" t="s">
        <v>170</v>
      </c>
      <c r="C15" s="6" t="s">
        <v>200</v>
      </c>
      <c r="D15" s="6">
        <v>1</v>
      </c>
      <c r="E15" s="6" t="s">
        <v>193</v>
      </c>
      <c r="F15" s="6"/>
      <c r="G15" t="s">
        <v>195</v>
      </c>
      <c r="H15" t="s">
        <v>196</v>
      </c>
      <c r="I15" t="e">
        <f>VLOOKUP($B15,'Rekentool Natuur en landschap'!$A$40:$I$73,7,0)*$D15</f>
        <v>#N/A</v>
      </c>
      <c r="J15" t="e">
        <f>VLOOKUP($B15,'Rekentool Natuur en landschap'!$A$40:$I$73,8,0)*$D15</f>
        <v>#N/A</v>
      </c>
      <c r="K15" t="e">
        <f>VLOOKUP($B15,'Rekentool Natuur en landschap'!$A$40:$I$73,9,0)*$D15</f>
        <v>#N/A</v>
      </c>
    </row>
    <row r="16" spans="1:11" x14ac:dyDescent="0.25">
      <c r="A16" t="s">
        <v>201</v>
      </c>
      <c r="B16" s="6" t="s">
        <v>144</v>
      </c>
      <c r="C16" s="6" t="s">
        <v>143</v>
      </c>
      <c r="D16" s="6">
        <v>0.15509999999999999</v>
      </c>
      <c r="E16" s="6" t="s">
        <v>202</v>
      </c>
      <c r="F16" s="6"/>
      <c r="G16" t="s">
        <v>195</v>
      </c>
      <c r="H16" t="s">
        <v>203</v>
      </c>
      <c r="I16" t="e">
        <f>VLOOKUP($B16,'Rekentool Natuur en landschap'!$A$40:$I$73,7,0)*$D16</f>
        <v>#N/A</v>
      </c>
      <c r="J16" t="e">
        <f>VLOOKUP($B16,'Rekentool Natuur en landschap'!$A$40:$I$73,8,0)*$D16</f>
        <v>#N/A</v>
      </c>
      <c r="K16" t="e">
        <f>VLOOKUP($B16,'Rekentool Natuur en landschap'!$A$40:$I$73,9,0)*$D16</f>
        <v>#N/A</v>
      </c>
    </row>
    <row r="17" spans="1:11" x14ac:dyDescent="0.25">
      <c r="A17" t="s">
        <v>201</v>
      </c>
      <c r="B17" s="6" t="s">
        <v>90</v>
      </c>
      <c r="C17" s="6" t="s">
        <v>89</v>
      </c>
      <c r="D17" s="6">
        <v>8.2600000000000007E-2</v>
      </c>
      <c r="E17" s="6" t="s">
        <v>202</v>
      </c>
      <c r="F17" s="6"/>
      <c r="G17" t="s">
        <v>195</v>
      </c>
      <c r="H17" t="s">
        <v>203</v>
      </c>
      <c r="I17" t="e">
        <f>VLOOKUP($B17,'Rekentool Natuur en landschap'!$A$40:$I$73,7,0)*$D17</f>
        <v>#N/A</v>
      </c>
      <c r="J17" t="e">
        <f>VLOOKUP($B17,'Rekentool Natuur en landschap'!$A$40:$I$73,8,0)*$D17</f>
        <v>#N/A</v>
      </c>
      <c r="K17" t="e">
        <f>VLOOKUP($B17,'Rekentool Natuur en landschap'!$A$40:$I$73,9,0)*$D17</f>
        <v>#N/A</v>
      </c>
    </row>
    <row r="18" spans="1:11" x14ac:dyDescent="0.25">
      <c r="B18" s="6" t="s">
        <v>204</v>
      </c>
      <c r="C18" s="6" t="s">
        <v>205</v>
      </c>
      <c r="D18" s="6">
        <v>6.7900000000000002E-2</v>
      </c>
      <c r="E18" s="6" t="s">
        <v>202</v>
      </c>
      <c r="F18" s="6"/>
      <c r="G18" t="s">
        <v>195</v>
      </c>
      <c r="H18" t="s">
        <v>203</v>
      </c>
      <c r="J18"/>
    </row>
    <row r="19" spans="1:11" x14ac:dyDescent="0.25">
      <c r="A19" t="s">
        <v>206</v>
      </c>
      <c r="B19" s="6" t="s">
        <v>109</v>
      </c>
      <c r="C19" s="6" t="s">
        <v>207</v>
      </c>
      <c r="D19" s="6">
        <v>4.8368000000000002</v>
      </c>
      <c r="E19" s="6" t="s">
        <v>202</v>
      </c>
      <c r="F19" s="6"/>
      <c r="G19" t="s">
        <v>195</v>
      </c>
      <c r="H19" t="s">
        <v>203</v>
      </c>
      <c r="I19" t="e">
        <f>VLOOKUP($B19,'Rekentool Natuur en landschap'!$A$40:$I$73,7,0)*$D19</f>
        <v>#N/A</v>
      </c>
      <c r="J19" t="e">
        <f>VLOOKUP($B19,'Rekentool Natuur en landschap'!$A$40:$I$73,8,0)*$D19</f>
        <v>#N/A</v>
      </c>
      <c r="K19" t="e">
        <f>VLOOKUP($B19,'Rekentool Natuur en landschap'!$A$40:$I$73,9,0)*$D19</f>
        <v>#N/A</v>
      </c>
    </row>
    <row r="20" spans="1:11" x14ac:dyDescent="0.25">
      <c r="A20" t="s">
        <v>206</v>
      </c>
      <c r="B20" s="6" t="s">
        <v>109</v>
      </c>
      <c r="C20" s="6" t="s">
        <v>207</v>
      </c>
      <c r="D20" s="6">
        <v>0.67959999999999998</v>
      </c>
      <c r="E20" s="6" t="s">
        <v>202</v>
      </c>
      <c r="F20" s="6"/>
      <c r="G20" t="s">
        <v>195</v>
      </c>
      <c r="H20" t="s">
        <v>203</v>
      </c>
      <c r="I20" t="e">
        <f>VLOOKUP($B20,'Rekentool Natuur en landschap'!$A$40:$I$73,7,0)*$D20</f>
        <v>#N/A</v>
      </c>
      <c r="J20" t="e">
        <f>VLOOKUP($B20,'Rekentool Natuur en landschap'!$A$40:$I$73,8,0)*$D20</f>
        <v>#N/A</v>
      </c>
      <c r="K20" t="e">
        <f>VLOOKUP($B20,'Rekentool Natuur en landschap'!$A$40:$I$73,9,0)*$D20</f>
        <v>#N/A</v>
      </c>
    </row>
    <row r="21" spans="1:11" x14ac:dyDescent="0.25">
      <c r="A21" t="s">
        <v>206</v>
      </c>
      <c r="B21" s="6" t="s">
        <v>100</v>
      </c>
      <c r="C21" s="6" t="s">
        <v>99</v>
      </c>
      <c r="D21" s="6">
        <v>2.69E-2</v>
      </c>
      <c r="E21" s="6" t="s">
        <v>202</v>
      </c>
      <c r="F21" s="6"/>
      <c r="G21" t="s">
        <v>195</v>
      </c>
      <c r="H21" t="s">
        <v>203</v>
      </c>
      <c r="I21" t="e">
        <f>VLOOKUP($B21,'Rekentool Natuur en landschap'!$A$40:$I$73,7,0)*$D21</f>
        <v>#N/A</v>
      </c>
      <c r="J21" t="e">
        <f>VLOOKUP($B21,'Rekentool Natuur en landschap'!$A$40:$I$73,8,0)*$D21</f>
        <v>#N/A</v>
      </c>
      <c r="K21" t="e">
        <f>VLOOKUP($B21,'Rekentool Natuur en landschap'!$A$40:$I$73,9,0)*$D21</f>
        <v>#N/A</v>
      </c>
    </row>
    <row r="22" spans="1:11" x14ac:dyDescent="0.25">
      <c r="A22" t="s">
        <v>199</v>
      </c>
      <c r="B22" s="6" t="s">
        <v>170</v>
      </c>
      <c r="C22" s="6" t="s">
        <v>200</v>
      </c>
      <c r="D22" s="6">
        <v>1</v>
      </c>
      <c r="E22" s="6" t="s">
        <v>202</v>
      </c>
      <c r="F22" s="6"/>
      <c r="G22" t="s">
        <v>195</v>
      </c>
      <c r="H22" t="s">
        <v>203</v>
      </c>
      <c r="I22" t="e">
        <f>VLOOKUP($B22,'Rekentool Natuur en landschap'!$A$40:$I$73,7,0)*$D22</f>
        <v>#N/A</v>
      </c>
      <c r="J22" t="e">
        <f>VLOOKUP($B22,'Rekentool Natuur en landschap'!$A$40:$I$73,8,0)*$D22</f>
        <v>#N/A</v>
      </c>
      <c r="K22" t="e">
        <f>VLOOKUP($B22,'Rekentool Natuur en landschap'!$A$40:$I$73,9,0)*$D22</f>
        <v>#N/A</v>
      </c>
    </row>
    <row r="23" spans="1:11" x14ac:dyDescent="0.25">
      <c r="A23" t="s">
        <v>191</v>
      </c>
      <c r="B23" s="6" t="s">
        <v>62</v>
      </c>
      <c r="C23" s="6" t="s">
        <v>198</v>
      </c>
      <c r="D23" s="6">
        <v>4.9047999999999998</v>
      </c>
      <c r="E23" s="6" t="s">
        <v>202</v>
      </c>
      <c r="F23" s="6"/>
      <c r="G23" t="s">
        <v>195</v>
      </c>
      <c r="H23" t="s">
        <v>203</v>
      </c>
      <c r="I23" t="e">
        <f>VLOOKUP($B23,'Rekentool Natuur en landschap'!$A$40:$I$73,7,0)*$D23</f>
        <v>#N/A</v>
      </c>
      <c r="J23" t="e">
        <f>VLOOKUP($B23,'Rekentool Natuur en landschap'!$A$40:$I$73,8,0)*$D23</f>
        <v>#N/A</v>
      </c>
      <c r="K23" t="e">
        <f>VLOOKUP($B23,'Rekentool Natuur en landschap'!$A$40:$I$73,9,0)*$D23</f>
        <v>#N/A</v>
      </c>
    </row>
    <row r="24" spans="1:11" x14ac:dyDescent="0.25">
      <c r="A24" t="s">
        <v>191</v>
      </c>
      <c r="B24" s="6" t="s">
        <v>62</v>
      </c>
      <c r="C24" s="6" t="s">
        <v>198</v>
      </c>
      <c r="D24" s="6">
        <v>11.2194</v>
      </c>
      <c r="E24" s="6" t="s">
        <v>202</v>
      </c>
      <c r="F24" s="6"/>
      <c r="G24" t="s">
        <v>195</v>
      </c>
      <c r="H24" t="s">
        <v>203</v>
      </c>
      <c r="I24" t="e">
        <f>VLOOKUP($B24,'Rekentool Natuur en landschap'!$A$40:$I$73,7,0)*$D24</f>
        <v>#N/A</v>
      </c>
      <c r="J24" t="e">
        <f>VLOOKUP($B24,'Rekentool Natuur en landschap'!$A$40:$I$73,8,0)*$D24</f>
        <v>#N/A</v>
      </c>
      <c r="K24" t="e">
        <f>VLOOKUP($B24,'Rekentool Natuur en landschap'!$A$40:$I$73,9,0)*$D24</f>
        <v>#N/A</v>
      </c>
    </row>
    <row r="25" spans="1:11" x14ac:dyDescent="0.25">
      <c r="A25" t="s">
        <v>191</v>
      </c>
      <c r="B25" s="6" t="s">
        <v>62</v>
      </c>
      <c r="C25" s="6" t="s">
        <v>198</v>
      </c>
      <c r="D25" s="6">
        <v>4.6772</v>
      </c>
      <c r="E25" s="6" t="s">
        <v>202</v>
      </c>
      <c r="F25" s="6"/>
      <c r="G25" t="s">
        <v>195</v>
      </c>
      <c r="H25" t="s">
        <v>203</v>
      </c>
      <c r="I25" t="e">
        <f>VLOOKUP($B25,'Rekentool Natuur en landschap'!$A$40:$I$73,7,0)*$D25</f>
        <v>#N/A</v>
      </c>
      <c r="J25" t="e">
        <f>VLOOKUP($B25,'Rekentool Natuur en landschap'!$A$40:$I$73,8,0)*$D25</f>
        <v>#N/A</v>
      </c>
      <c r="K25" t="e">
        <f>VLOOKUP($B25,'Rekentool Natuur en landschap'!$A$40:$I$73,9,0)*$D25</f>
        <v>#N/A</v>
      </c>
    </row>
    <row r="26" spans="1:11" x14ac:dyDescent="0.25">
      <c r="A26" t="s">
        <v>191</v>
      </c>
      <c r="B26" s="6" t="s">
        <v>62</v>
      </c>
      <c r="C26" s="6" t="s">
        <v>198</v>
      </c>
      <c r="D26" s="6">
        <v>4.8029999999999999</v>
      </c>
      <c r="E26" s="6" t="s">
        <v>202</v>
      </c>
      <c r="F26" s="6"/>
      <c r="G26" t="s">
        <v>195</v>
      </c>
      <c r="H26" t="s">
        <v>203</v>
      </c>
      <c r="I26" t="e">
        <f>VLOOKUP($B26,'Rekentool Natuur en landschap'!$A$40:$I$73,7,0)*$D26</f>
        <v>#N/A</v>
      </c>
      <c r="J26" t="e">
        <f>VLOOKUP($B26,'Rekentool Natuur en landschap'!$A$40:$I$73,8,0)*$D26</f>
        <v>#N/A</v>
      </c>
      <c r="K26" t="e">
        <f>VLOOKUP($B26,'Rekentool Natuur en landschap'!$A$40:$I$73,9,0)*$D26</f>
        <v>#N/A</v>
      </c>
    </row>
    <row r="27" spans="1:11" x14ac:dyDescent="0.25">
      <c r="A27" t="s">
        <v>191</v>
      </c>
      <c r="B27" s="6" t="s">
        <v>62</v>
      </c>
      <c r="C27" s="6" t="s">
        <v>198</v>
      </c>
      <c r="D27" s="6">
        <v>2.0095000000000001</v>
      </c>
      <c r="E27" s="6" t="s">
        <v>202</v>
      </c>
      <c r="F27" s="6"/>
      <c r="G27" t="s">
        <v>195</v>
      </c>
      <c r="H27" t="s">
        <v>203</v>
      </c>
      <c r="I27" t="e">
        <f>VLOOKUP($B27,'Rekentool Natuur en landschap'!$A$40:$I$73,7,0)*$D27</f>
        <v>#N/A</v>
      </c>
      <c r="J27" t="e">
        <f>VLOOKUP($B27,'Rekentool Natuur en landschap'!$A$40:$I$73,8,0)*$D27</f>
        <v>#N/A</v>
      </c>
      <c r="K27" t="e">
        <f>VLOOKUP($B27,'Rekentool Natuur en landschap'!$A$40:$I$73,9,0)*$D27</f>
        <v>#N/A</v>
      </c>
    </row>
    <row r="28" spans="1:11" x14ac:dyDescent="0.25">
      <c r="A28" t="s">
        <v>191</v>
      </c>
      <c r="B28" s="6" t="s">
        <v>62</v>
      </c>
      <c r="C28" s="6" t="s">
        <v>198</v>
      </c>
      <c r="D28" s="6">
        <v>2.6435</v>
      </c>
      <c r="E28" s="6" t="s">
        <v>202</v>
      </c>
      <c r="F28" s="6"/>
      <c r="G28" t="s">
        <v>195</v>
      </c>
      <c r="H28" t="s">
        <v>203</v>
      </c>
      <c r="I28" t="e">
        <f>VLOOKUP($B28,'Rekentool Natuur en landschap'!$A$40:$I$73,7,0)*$D28</f>
        <v>#N/A</v>
      </c>
      <c r="J28" t="e">
        <f>VLOOKUP($B28,'Rekentool Natuur en landschap'!$A$40:$I$73,8,0)*$D28</f>
        <v>#N/A</v>
      </c>
      <c r="K28" t="e">
        <f>VLOOKUP($B28,'Rekentool Natuur en landschap'!$A$40:$I$73,9,0)*$D28</f>
        <v>#N/A</v>
      </c>
    </row>
    <row r="29" spans="1:11" x14ac:dyDescent="0.25">
      <c r="A29" t="s">
        <v>191</v>
      </c>
      <c r="B29" s="6" t="s">
        <v>62</v>
      </c>
      <c r="C29" s="6" t="s">
        <v>198</v>
      </c>
      <c r="D29" s="6">
        <v>3.5371999999999999</v>
      </c>
      <c r="E29" s="6" t="s">
        <v>202</v>
      </c>
      <c r="F29" s="6"/>
      <c r="G29" t="s">
        <v>195</v>
      </c>
      <c r="H29" t="s">
        <v>203</v>
      </c>
      <c r="I29" t="e">
        <f>VLOOKUP($B29,'Rekentool Natuur en landschap'!$A$40:$I$73,7,0)*$D29</f>
        <v>#N/A</v>
      </c>
      <c r="J29" t="e">
        <f>VLOOKUP($B29,'Rekentool Natuur en landschap'!$A$40:$I$73,8,0)*$D29</f>
        <v>#N/A</v>
      </c>
      <c r="K29" t="e">
        <f>VLOOKUP($B29,'Rekentool Natuur en landschap'!$A$40:$I$73,9,0)*$D29</f>
        <v>#N/A</v>
      </c>
    </row>
    <row r="30" spans="1:11" x14ac:dyDescent="0.25">
      <c r="A30" t="s">
        <v>201</v>
      </c>
      <c r="B30" s="6" t="s">
        <v>148</v>
      </c>
      <c r="C30" s="6" t="s">
        <v>208</v>
      </c>
      <c r="D30" s="6">
        <v>0.19950000000000001</v>
      </c>
      <c r="E30" s="6" t="s">
        <v>209</v>
      </c>
      <c r="F30" s="6"/>
      <c r="G30" t="s">
        <v>195</v>
      </c>
      <c r="H30" t="s">
        <v>210</v>
      </c>
      <c r="I30" t="e">
        <f>VLOOKUP($B30,'Rekentool Natuur en landschap'!$A$40:$I$73,7,0)*$D30</f>
        <v>#N/A</v>
      </c>
      <c r="J30" t="e">
        <f>VLOOKUP($B30,'Rekentool Natuur en landschap'!$A$40:$I$73,8,0)*$D30</f>
        <v>#N/A</v>
      </c>
      <c r="K30" t="e">
        <f>VLOOKUP($B30,'Rekentool Natuur en landschap'!$A$40:$I$73,9,0)*$D30</f>
        <v>#N/A</v>
      </c>
    </row>
    <row r="31" spans="1:11" x14ac:dyDescent="0.25">
      <c r="A31" t="s">
        <v>199</v>
      </c>
      <c r="B31" s="6" t="s">
        <v>170</v>
      </c>
      <c r="C31" s="6" t="s">
        <v>200</v>
      </c>
      <c r="D31" s="6">
        <v>1</v>
      </c>
      <c r="E31" s="6" t="s">
        <v>209</v>
      </c>
      <c r="F31" s="6"/>
      <c r="G31" t="s">
        <v>195</v>
      </c>
      <c r="H31" t="s">
        <v>210</v>
      </c>
      <c r="I31" t="e">
        <f>VLOOKUP($B31,'Rekentool Natuur en landschap'!$A$40:$I$73,7,0)*$D31</f>
        <v>#N/A</v>
      </c>
      <c r="J31" t="e">
        <f>VLOOKUP($B31,'Rekentool Natuur en landschap'!$A$40:$I$73,8,0)*$D31</f>
        <v>#N/A</v>
      </c>
      <c r="K31" t="e">
        <f>VLOOKUP($B31,'Rekentool Natuur en landschap'!$A$40:$I$73,9,0)*$D31</f>
        <v>#N/A</v>
      </c>
    </row>
    <row r="32" spans="1:11" x14ac:dyDescent="0.25">
      <c r="A32" t="s">
        <v>206</v>
      </c>
      <c r="B32" s="6" t="s">
        <v>100</v>
      </c>
      <c r="C32" s="6" t="s">
        <v>99</v>
      </c>
      <c r="D32" s="6">
        <v>0.51070000000000004</v>
      </c>
      <c r="E32" s="6" t="s">
        <v>209</v>
      </c>
      <c r="F32" s="6"/>
      <c r="G32" t="s">
        <v>195</v>
      </c>
      <c r="H32" t="s">
        <v>210</v>
      </c>
      <c r="I32" t="e">
        <f>VLOOKUP($B32,'Rekentool Natuur en landschap'!$A$40:$I$73,7,0)*$D32</f>
        <v>#N/A</v>
      </c>
      <c r="J32" t="e">
        <f>VLOOKUP($B32,'Rekentool Natuur en landschap'!$A$40:$I$73,8,0)*$D32</f>
        <v>#N/A</v>
      </c>
      <c r="K32" t="e">
        <f>VLOOKUP($B32,'Rekentool Natuur en landschap'!$A$40:$I$73,9,0)*$D32</f>
        <v>#N/A</v>
      </c>
    </row>
    <row r="33" spans="1:11" x14ac:dyDescent="0.25">
      <c r="A33" t="s">
        <v>206</v>
      </c>
      <c r="B33" s="6" t="s">
        <v>100</v>
      </c>
      <c r="C33" s="6" t="s">
        <v>99</v>
      </c>
      <c r="D33" s="6">
        <v>4.3999999999999997E-2</v>
      </c>
      <c r="E33" s="6" t="s">
        <v>209</v>
      </c>
      <c r="F33" s="6"/>
      <c r="G33" t="s">
        <v>195</v>
      </c>
      <c r="H33" t="s">
        <v>210</v>
      </c>
      <c r="I33" t="e">
        <f>VLOOKUP($B33,'Rekentool Natuur en landschap'!$A$40:$I$73,7,0)*$D33</f>
        <v>#N/A</v>
      </c>
      <c r="J33" t="e">
        <f>VLOOKUP($B33,'Rekentool Natuur en landschap'!$A$40:$I$73,8,0)*$D33</f>
        <v>#N/A</v>
      </c>
      <c r="K33" t="e">
        <f>VLOOKUP($B33,'Rekentool Natuur en landschap'!$A$40:$I$73,9,0)*$D33</f>
        <v>#N/A</v>
      </c>
    </row>
    <row r="34" spans="1:11" x14ac:dyDescent="0.25">
      <c r="A34" t="s">
        <v>206</v>
      </c>
      <c r="B34" s="6" t="s">
        <v>100</v>
      </c>
      <c r="C34" s="6" t="s">
        <v>99</v>
      </c>
      <c r="D34" s="6">
        <v>0.01</v>
      </c>
      <c r="E34" s="6" t="s">
        <v>209</v>
      </c>
      <c r="F34" s="6"/>
      <c r="G34" t="s">
        <v>195</v>
      </c>
      <c r="H34" t="s">
        <v>210</v>
      </c>
      <c r="I34" t="e">
        <f>VLOOKUP($B34,'Rekentool Natuur en landschap'!$A$40:$I$73,7,0)*$D34</f>
        <v>#N/A</v>
      </c>
      <c r="J34" t="e">
        <f>VLOOKUP($B34,'Rekentool Natuur en landschap'!$A$40:$I$73,8,0)*$D34</f>
        <v>#N/A</v>
      </c>
      <c r="K34" t="e">
        <f>VLOOKUP($B34,'Rekentool Natuur en landschap'!$A$40:$I$73,9,0)*$D34</f>
        <v>#N/A</v>
      </c>
    </row>
    <row r="35" spans="1:11" x14ac:dyDescent="0.25">
      <c r="A35" t="s">
        <v>206</v>
      </c>
      <c r="B35" s="6" t="s">
        <v>100</v>
      </c>
      <c r="C35" s="6" t="s">
        <v>99</v>
      </c>
      <c r="D35" s="6">
        <v>4.1799999999999997E-2</v>
      </c>
      <c r="E35" s="6" t="s">
        <v>209</v>
      </c>
      <c r="F35" s="6"/>
      <c r="G35" t="s">
        <v>195</v>
      </c>
      <c r="H35" t="s">
        <v>210</v>
      </c>
      <c r="I35" t="e">
        <f>VLOOKUP($B35,'Rekentool Natuur en landschap'!$A$40:$I$73,7,0)*$D35</f>
        <v>#N/A</v>
      </c>
      <c r="J35" t="e">
        <f>VLOOKUP($B35,'Rekentool Natuur en landschap'!$A$40:$I$73,8,0)*$D35</f>
        <v>#N/A</v>
      </c>
      <c r="K35" t="e">
        <f>VLOOKUP($B35,'Rekentool Natuur en landschap'!$A$40:$I$73,9,0)*$D35</f>
        <v>#N/A</v>
      </c>
    </row>
    <row r="36" spans="1:11" x14ac:dyDescent="0.25">
      <c r="A36" t="s">
        <v>206</v>
      </c>
      <c r="B36" s="6" t="s">
        <v>100</v>
      </c>
      <c r="C36" s="6" t="s">
        <v>99</v>
      </c>
      <c r="D36" s="6">
        <v>0.1012</v>
      </c>
      <c r="E36" s="6" t="s">
        <v>209</v>
      </c>
      <c r="F36" s="6"/>
      <c r="G36" t="s">
        <v>195</v>
      </c>
      <c r="H36" t="s">
        <v>210</v>
      </c>
      <c r="I36" t="e">
        <f>VLOOKUP($B36,'Rekentool Natuur en landschap'!$A$40:$I$73,7,0)*$D36</f>
        <v>#N/A</v>
      </c>
      <c r="J36" t="e">
        <f>VLOOKUP($B36,'Rekentool Natuur en landschap'!$A$40:$I$73,8,0)*$D36</f>
        <v>#N/A</v>
      </c>
      <c r="K36" t="e">
        <f>VLOOKUP($B36,'Rekentool Natuur en landschap'!$A$40:$I$73,9,0)*$D36</f>
        <v>#N/A</v>
      </c>
    </row>
    <row r="37" spans="1:11" x14ac:dyDescent="0.25">
      <c r="A37" t="s">
        <v>206</v>
      </c>
      <c r="B37" s="6" t="s">
        <v>100</v>
      </c>
      <c r="C37" s="6" t="s">
        <v>99</v>
      </c>
      <c r="D37" s="6">
        <v>0.1641</v>
      </c>
      <c r="E37" s="6" t="s">
        <v>209</v>
      </c>
      <c r="F37" s="6"/>
      <c r="G37" t="s">
        <v>195</v>
      </c>
      <c r="H37" t="s">
        <v>210</v>
      </c>
      <c r="I37" t="e">
        <f>VLOOKUP($B37,'Rekentool Natuur en landschap'!$A$40:$I$73,7,0)*$D37</f>
        <v>#N/A</v>
      </c>
      <c r="J37" t="e">
        <f>VLOOKUP($B37,'Rekentool Natuur en landschap'!$A$40:$I$73,8,0)*$D37</f>
        <v>#N/A</v>
      </c>
      <c r="K37" t="e">
        <f>VLOOKUP($B37,'Rekentool Natuur en landschap'!$A$40:$I$73,9,0)*$D37</f>
        <v>#N/A</v>
      </c>
    </row>
    <row r="38" spans="1:11" x14ac:dyDescent="0.25">
      <c r="A38" t="s">
        <v>206</v>
      </c>
      <c r="B38" s="6" t="s">
        <v>100</v>
      </c>
      <c r="C38" s="6" t="s">
        <v>99</v>
      </c>
      <c r="D38" s="6">
        <v>7.3899999999999993E-2</v>
      </c>
      <c r="E38" s="6" t="s">
        <v>209</v>
      </c>
      <c r="F38" s="6"/>
      <c r="G38" t="s">
        <v>195</v>
      </c>
      <c r="H38" t="s">
        <v>210</v>
      </c>
      <c r="I38" t="e">
        <f>VLOOKUP($B38,'Rekentool Natuur en landschap'!$A$40:$I$73,7,0)*$D38</f>
        <v>#N/A</v>
      </c>
      <c r="J38" t="e">
        <f>VLOOKUP($B38,'Rekentool Natuur en landschap'!$A$40:$I$73,8,0)*$D38</f>
        <v>#N/A</v>
      </c>
      <c r="K38" t="e">
        <f>VLOOKUP($B38,'Rekentool Natuur en landschap'!$A$40:$I$73,9,0)*$D38</f>
        <v>#N/A</v>
      </c>
    </row>
    <row r="39" spans="1:11" x14ac:dyDescent="0.25">
      <c r="A39" t="s">
        <v>206</v>
      </c>
      <c r="B39" s="6" t="s">
        <v>100</v>
      </c>
      <c r="C39" s="6" t="s">
        <v>99</v>
      </c>
      <c r="D39" s="6">
        <v>0.13089999999999999</v>
      </c>
      <c r="E39" s="6" t="s">
        <v>209</v>
      </c>
      <c r="F39" s="6"/>
      <c r="G39" t="s">
        <v>195</v>
      </c>
      <c r="H39" t="s">
        <v>210</v>
      </c>
      <c r="I39" t="e">
        <f>VLOOKUP($B39,'Rekentool Natuur en landschap'!$A$40:$I$73,7,0)*$D39</f>
        <v>#N/A</v>
      </c>
      <c r="J39" t="e">
        <f>VLOOKUP($B39,'Rekentool Natuur en landschap'!$A$40:$I$73,8,0)*$D39</f>
        <v>#N/A</v>
      </c>
      <c r="K39" t="e">
        <f>VLOOKUP($B39,'Rekentool Natuur en landschap'!$A$40:$I$73,9,0)*$D39</f>
        <v>#N/A</v>
      </c>
    </row>
    <row r="40" spans="1:11" x14ac:dyDescent="0.25">
      <c r="A40" t="s">
        <v>206</v>
      </c>
      <c r="B40" s="6" t="s">
        <v>100</v>
      </c>
      <c r="C40" s="6" t="s">
        <v>99</v>
      </c>
      <c r="D40" s="6">
        <v>8.8900000000000007E-2</v>
      </c>
      <c r="E40" s="6" t="s">
        <v>209</v>
      </c>
      <c r="F40" s="6"/>
      <c r="G40" t="s">
        <v>195</v>
      </c>
      <c r="H40" t="s">
        <v>210</v>
      </c>
      <c r="I40" t="e">
        <f>VLOOKUP($B40,'Rekentool Natuur en landschap'!$A$40:$I$73,7,0)*$D40</f>
        <v>#N/A</v>
      </c>
      <c r="J40" t="e">
        <f>VLOOKUP($B40,'Rekentool Natuur en landschap'!$A$40:$I$73,8,0)*$D40</f>
        <v>#N/A</v>
      </c>
      <c r="K40" t="e">
        <f>VLOOKUP($B40,'Rekentool Natuur en landschap'!$A$40:$I$73,9,0)*$D40</f>
        <v>#N/A</v>
      </c>
    </row>
    <row r="41" spans="1:11" x14ac:dyDescent="0.25">
      <c r="A41" t="s">
        <v>206</v>
      </c>
      <c r="B41" s="6" t="s">
        <v>100</v>
      </c>
      <c r="C41" s="6" t="s">
        <v>99</v>
      </c>
      <c r="D41" s="6">
        <v>5.21E-2</v>
      </c>
      <c r="E41" s="6" t="s">
        <v>209</v>
      </c>
      <c r="F41" s="6"/>
      <c r="G41" t="s">
        <v>195</v>
      </c>
      <c r="H41" t="s">
        <v>210</v>
      </c>
      <c r="I41" t="e">
        <f>VLOOKUP($B41,'Rekentool Natuur en landschap'!$A$40:$I$73,7,0)*$D41</f>
        <v>#N/A</v>
      </c>
      <c r="J41" t="e">
        <f>VLOOKUP($B41,'Rekentool Natuur en landschap'!$A$40:$I$73,8,0)*$D41</f>
        <v>#N/A</v>
      </c>
      <c r="K41" t="e">
        <f>VLOOKUP($B41,'Rekentool Natuur en landschap'!$A$40:$I$73,9,0)*$D41</f>
        <v>#N/A</v>
      </c>
    </row>
    <row r="42" spans="1:11" x14ac:dyDescent="0.25">
      <c r="A42" t="s">
        <v>206</v>
      </c>
      <c r="B42" s="6" t="s">
        <v>100</v>
      </c>
      <c r="C42" s="6" t="s">
        <v>99</v>
      </c>
      <c r="D42" s="6">
        <v>0.1535</v>
      </c>
      <c r="E42" s="6" t="s">
        <v>209</v>
      </c>
      <c r="F42" s="6"/>
      <c r="G42" t="s">
        <v>195</v>
      </c>
      <c r="H42" t="s">
        <v>210</v>
      </c>
      <c r="I42" t="e">
        <f>VLOOKUP($B42,'Rekentool Natuur en landschap'!$A$40:$I$73,7,0)*$D42</f>
        <v>#N/A</v>
      </c>
      <c r="J42" t="e">
        <f>VLOOKUP($B42,'Rekentool Natuur en landschap'!$A$40:$I$73,8,0)*$D42</f>
        <v>#N/A</v>
      </c>
      <c r="K42" t="e">
        <f>VLOOKUP($B42,'Rekentool Natuur en landschap'!$A$40:$I$73,9,0)*$D42</f>
        <v>#N/A</v>
      </c>
    </row>
    <row r="43" spans="1:11" x14ac:dyDescent="0.25">
      <c r="A43" t="s">
        <v>206</v>
      </c>
      <c r="B43" s="6" t="s">
        <v>100</v>
      </c>
      <c r="C43" s="6" t="s">
        <v>99</v>
      </c>
      <c r="D43" s="6">
        <v>5.9400000000000001E-2</v>
      </c>
      <c r="E43" s="6" t="s">
        <v>209</v>
      </c>
      <c r="F43" s="6"/>
      <c r="G43" t="s">
        <v>195</v>
      </c>
      <c r="H43" t="s">
        <v>210</v>
      </c>
      <c r="I43" t="e">
        <f>VLOOKUP($B43,'Rekentool Natuur en landschap'!$A$40:$I$73,7,0)*$D43</f>
        <v>#N/A</v>
      </c>
      <c r="J43" t="e">
        <f>VLOOKUP($B43,'Rekentool Natuur en landschap'!$A$40:$I$73,8,0)*$D43</f>
        <v>#N/A</v>
      </c>
      <c r="K43" t="e">
        <f>VLOOKUP($B43,'Rekentool Natuur en landschap'!$A$40:$I$73,9,0)*$D43</f>
        <v>#N/A</v>
      </c>
    </row>
    <row r="44" spans="1:11" x14ac:dyDescent="0.25">
      <c r="A44" t="s">
        <v>206</v>
      </c>
      <c r="B44" s="6" t="s">
        <v>100</v>
      </c>
      <c r="C44" s="6" t="s">
        <v>99</v>
      </c>
      <c r="D44" s="6">
        <v>1.37E-2</v>
      </c>
      <c r="E44" s="6" t="s">
        <v>209</v>
      </c>
      <c r="F44" s="6"/>
      <c r="G44" t="s">
        <v>195</v>
      </c>
      <c r="H44" t="s">
        <v>210</v>
      </c>
      <c r="I44" t="e">
        <f>VLOOKUP($B44,'Rekentool Natuur en landschap'!$A$40:$I$73,7,0)*$D44</f>
        <v>#N/A</v>
      </c>
      <c r="J44" t="e">
        <f>VLOOKUP($B44,'Rekentool Natuur en landschap'!$A$40:$I$73,8,0)*$D44</f>
        <v>#N/A</v>
      </c>
      <c r="K44" t="e">
        <f>VLOOKUP($B44,'Rekentool Natuur en landschap'!$A$40:$I$73,9,0)*$D44</f>
        <v>#N/A</v>
      </c>
    </row>
    <row r="45" spans="1:11" x14ac:dyDescent="0.25">
      <c r="A45" t="s">
        <v>206</v>
      </c>
      <c r="B45" s="6" t="s">
        <v>100</v>
      </c>
      <c r="C45" s="6" t="s">
        <v>99</v>
      </c>
      <c r="D45" s="6">
        <v>0.1203</v>
      </c>
      <c r="E45" s="6" t="s">
        <v>209</v>
      </c>
      <c r="F45" s="6"/>
      <c r="G45" t="s">
        <v>195</v>
      </c>
      <c r="H45" t="s">
        <v>210</v>
      </c>
      <c r="I45" t="e">
        <f>VLOOKUP($B45,'Rekentool Natuur en landschap'!$A$40:$I$73,7,0)*$D45</f>
        <v>#N/A</v>
      </c>
      <c r="J45" t="e">
        <f>VLOOKUP($B45,'Rekentool Natuur en landschap'!$A$40:$I$73,8,0)*$D45</f>
        <v>#N/A</v>
      </c>
      <c r="K45" t="e">
        <f>VLOOKUP($B45,'Rekentool Natuur en landschap'!$A$40:$I$73,9,0)*$D45</f>
        <v>#N/A</v>
      </c>
    </row>
    <row r="46" spans="1:11" x14ac:dyDescent="0.25">
      <c r="A46" t="s">
        <v>206</v>
      </c>
      <c r="B46" s="6" t="s">
        <v>100</v>
      </c>
      <c r="C46" s="6" t="s">
        <v>99</v>
      </c>
      <c r="D46" s="6">
        <v>0.1381</v>
      </c>
      <c r="E46" s="6" t="s">
        <v>209</v>
      </c>
      <c r="F46" s="6"/>
      <c r="G46" t="s">
        <v>195</v>
      </c>
      <c r="H46" t="s">
        <v>210</v>
      </c>
      <c r="I46" t="e">
        <f>VLOOKUP($B46,'Rekentool Natuur en landschap'!$A$40:$I$73,7,0)*$D46</f>
        <v>#N/A</v>
      </c>
      <c r="J46" t="e">
        <f>VLOOKUP($B46,'Rekentool Natuur en landschap'!$A$40:$I$73,8,0)*$D46</f>
        <v>#N/A</v>
      </c>
      <c r="K46" t="e">
        <f>VLOOKUP($B46,'Rekentool Natuur en landschap'!$A$40:$I$73,9,0)*$D46</f>
        <v>#N/A</v>
      </c>
    </row>
    <row r="47" spans="1:11" x14ac:dyDescent="0.25">
      <c r="A47" t="s">
        <v>206</v>
      </c>
      <c r="B47" s="6" t="s">
        <v>100</v>
      </c>
      <c r="C47" s="6" t="s">
        <v>99</v>
      </c>
      <c r="D47" s="6">
        <v>6.5299999999999997E-2</v>
      </c>
      <c r="E47" s="6" t="s">
        <v>209</v>
      </c>
      <c r="F47" s="6"/>
      <c r="G47" t="s">
        <v>195</v>
      </c>
      <c r="H47" t="s">
        <v>210</v>
      </c>
      <c r="I47" t="e">
        <f>VLOOKUP($B47,'Rekentool Natuur en landschap'!$A$40:$I$73,7,0)*$D47</f>
        <v>#N/A</v>
      </c>
      <c r="J47" t="e">
        <f>VLOOKUP($B47,'Rekentool Natuur en landschap'!$A$40:$I$73,8,0)*$D47</f>
        <v>#N/A</v>
      </c>
      <c r="K47" t="e">
        <f>VLOOKUP($B47,'Rekentool Natuur en landschap'!$A$40:$I$73,9,0)*$D47</f>
        <v>#N/A</v>
      </c>
    </row>
    <row r="48" spans="1:11" x14ac:dyDescent="0.25">
      <c r="A48" t="s">
        <v>206</v>
      </c>
      <c r="B48" s="6" t="s">
        <v>100</v>
      </c>
      <c r="C48" s="6" t="s">
        <v>99</v>
      </c>
      <c r="D48" s="6">
        <v>4.7E-2</v>
      </c>
      <c r="E48" s="6" t="s">
        <v>209</v>
      </c>
      <c r="F48" s="6"/>
      <c r="G48" t="s">
        <v>195</v>
      </c>
      <c r="H48" t="s">
        <v>210</v>
      </c>
      <c r="I48" t="e">
        <f>VLOOKUP($B48,'Rekentool Natuur en landschap'!$A$40:$I$73,7,0)*$D48</f>
        <v>#N/A</v>
      </c>
      <c r="J48" t="e">
        <f>VLOOKUP($B48,'Rekentool Natuur en landschap'!$A$40:$I$73,8,0)*$D48</f>
        <v>#N/A</v>
      </c>
      <c r="K48" t="e">
        <f>VLOOKUP($B48,'Rekentool Natuur en landschap'!$A$40:$I$73,9,0)*$D48</f>
        <v>#N/A</v>
      </c>
    </row>
    <row r="49" spans="1:11" x14ac:dyDescent="0.25">
      <c r="A49" t="s">
        <v>206</v>
      </c>
      <c r="B49" s="6" t="s">
        <v>100</v>
      </c>
      <c r="C49" s="6" t="s">
        <v>99</v>
      </c>
      <c r="D49" s="6">
        <v>9.7699999999999995E-2</v>
      </c>
      <c r="E49" s="6" t="s">
        <v>209</v>
      </c>
      <c r="F49" s="6"/>
      <c r="G49" t="s">
        <v>195</v>
      </c>
      <c r="H49" t="s">
        <v>210</v>
      </c>
      <c r="I49" t="e">
        <f>VLOOKUP($B49,'Rekentool Natuur en landschap'!$A$40:$I$73,7,0)*$D49</f>
        <v>#N/A</v>
      </c>
      <c r="J49" t="e">
        <f>VLOOKUP($B49,'Rekentool Natuur en landschap'!$A$40:$I$73,8,0)*$D49</f>
        <v>#N/A</v>
      </c>
      <c r="K49" t="e">
        <f>VLOOKUP($B49,'Rekentool Natuur en landschap'!$A$40:$I$73,9,0)*$D49</f>
        <v>#N/A</v>
      </c>
    </row>
    <row r="50" spans="1:11" x14ac:dyDescent="0.25">
      <c r="A50" t="s">
        <v>206</v>
      </c>
      <c r="B50" s="6" t="s">
        <v>100</v>
      </c>
      <c r="C50" s="6" t="s">
        <v>99</v>
      </c>
      <c r="D50" s="6">
        <v>5.5100000000000003E-2</v>
      </c>
      <c r="E50" s="6" t="s">
        <v>209</v>
      </c>
      <c r="F50" s="6"/>
      <c r="G50" t="s">
        <v>195</v>
      </c>
      <c r="H50" t="s">
        <v>210</v>
      </c>
      <c r="I50" t="e">
        <f>VLOOKUP($B50,'Rekentool Natuur en landschap'!$A$40:$I$73,7,0)*$D50</f>
        <v>#N/A</v>
      </c>
      <c r="J50" t="e">
        <f>VLOOKUP($B50,'Rekentool Natuur en landschap'!$A$40:$I$73,8,0)*$D50</f>
        <v>#N/A</v>
      </c>
      <c r="K50" t="e">
        <f>VLOOKUP($B50,'Rekentool Natuur en landschap'!$A$40:$I$73,9,0)*$D50</f>
        <v>#N/A</v>
      </c>
    </row>
    <row r="51" spans="1:11" x14ac:dyDescent="0.25">
      <c r="A51" t="s">
        <v>206</v>
      </c>
      <c r="B51" s="6" t="s">
        <v>100</v>
      </c>
      <c r="C51" s="6" t="s">
        <v>99</v>
      </c>
      <c r="D51" s="6">
        <v>4.8500000000000001E-2</v>
      </c>
      <c r="E51" s="6" t="s">
        <v>209</v>
      </c>
      <c r="F51" s="6"/>
      <c r="G51" t="s">
        <v>195</v>
      </c>
      <c r="H51" t="s">
        <v>210</v>
      </c>
      <c r="I51" t="e">
        <f>VLOOKUP($B51,'Rekentool Natuur en landschap'!$A$40:$I$73,7,0)*$D51</f>
        <v>#N/A</v>
      </c>
      <c r="J51" t="e">
        <f>VLOOKUP($B51,'Rekentool Natuur en landschap'!$A$40:$I$73,8,0)*$D51</f>
        <v>#N/A</v>
      </c>
      <c r="K51" t="e">
        <f>VLOOKUP($B51,'Rekentool Natuur en landschap'!$A$40:$I$73,9,0)*$D51</f>
        <v>#N/A</v>
      </c>
    </row>
    <row r="52" spans="1:11" x14ac:dyDescent="0.25">
      <c r="A52" t="s">
        <v>206</v>
      </c>
      <c r="B52" s="6" t="s">
        <v>100</v>
      </c>
      <c r="C52" s="6" t="s">
        <v>99</v>
      </c>
      <c r="D52" s="6">
        <v>0.17960000000000001</v>
      </c>
      <c r="E52" s="6" t="s">
        <v>209</v>
      </c>
      <c r="F52" s="6"/>
      <c r="G52" t="s">
        <v>195</v>
      </c>
      <c r="H52" t="s">
        <v>210</v>
      </c>
      <c r="I52" t="e">
        <f>VLOOKUP($B52,'Rekentool Natuur en landschap'!$A$40:$I$73,7,0)*$D52</f>
        <v>#N/A</v>
      </c>
      <c r="J52" t="e">
        <f>VLOOKUP($B52,'Rekentool Natuur en landschap'!$A$40:$I$73,8,0)*$D52</f>
        <v>#N/A</v>
      </c>
      <c r="K52" t="e">
        <f>VLOOKUP($B52,'Rekentool Natuur en landschap'!$A$40:$I$73,9,0)*$D52</f>
        <v>#N/A</v>
      </c>
    </row>
    <row r="53" spans="1:11" x14ac:dyDescent="0.25">
      <c r="A53" t="s">
        <v>206</v>
      </c>
      <c r="B53" s="6" t="s">
        <v>100</v>
      </c>
      <c r="C53" s="6" t="s">
        <v>99</v>
      </c>
      <c r="D53" s="6">
        <v>5.5100000000000003E-2</v>
      </c>
      <c r="E53" s="6" t="s">
        <v>209</v>
      </c>
      <c r="F53" s="6"/>
      <c r="G53" t="s">
        <v>195</v>
      </c>
      <c r="H53" t="s">
        <v>210</v>
      </c>
      <c r="I53" t="e">
        <f>VLOOKUP($B53,'Rekentool Natuur en landschap'!$A$40:$I$73,7,0)*$D53</f>
        <v>#N/A</v>
      </c>
      <c r="J53" t="e">
        <f>VLOOKUP($B53,'Rekentool Natuur en landschap'!$A$40:$I$73,8,0)*$D53</f>
        <v>#N/A</v>
      </c>
      <c r="K53" t="e">
        <f>VLOOKUP($B53,'Rekentool Natuur en landschap'!$A$40:$I$73,9,0)*$D53</f>
        <v>#N/A</v>
      </c>
    </row>
    <row r="54" spans="1:11" x14ac:dyDescent="0.25">
      <c r="A54" t="s">
        <v>206</v>
      </c>
      <c r="B54" s="6" t="s">
        <v>100</v>
      </c>
      <c r="C54" s="6" t="s">
        <v>99</v>
      </c>
      <c r="D54" s="7">
        <v>2.1000000000000001E-2</v>
      </c>
      <c r="E54" s="6" t="s">
        <v>209</v>
      </c>
      <c r="F54" s="6"/>
      <c r="G54" t="s">
        <v>195</v>
      </c>
      <c r="H54" t="s">
        <v>210</v>
      </c>
      <c r="I54" t="e">
        <f>VLOOKUP($B54,'Rekentool Natuur en landschap'!$A$40:$I$73,7,0)*$D54</f>
        <v>#N/A</v>
      </c>
      <c r="J54" t="e">
        <f>VLOOKUP($B54,'Rekentool Natuur en landschap'!$A$40:$I$73,8,0)*$D54</f>
        <v>#N/A</v>
      </c>
      <c r="K54" t="e">
        <f>VLOOKUP($B54,'Rekentool Natuur en landschap'!$A$40:$I$73,9,0)*$D54</f>
        <v>#N/A</v>
      </c>
    </row>
    <row r="55" spans="1:11" x14ac:dyDescent="0.25">
      <c r="A55" t="s">
        <v>206</v>
      </c>
      <c r="B55" s="6" t="s">
        <v>100</v>
      </c>
      <c r="C55" s="6" t="s">
        <v>99</v>
      </c>
      <c r="D55" s="7">
        <v>1.2699999999999999E-2</v>
      </c>
      <c r="E55" s="6" t="s">
        <v>209</v>
      </c>
      <c r="F55" s="6"/>
      <c r="G55" t="s">
        <v>195</v>
      </c>
      <c r="H55" t="s">
        <v>210</v>
      </c>
      <c r="I55" t="e">
        <f>VLOOKUP($B55,'Rekentool Natuur en landschap'!$A$40:$I$73,7,0)*$D55</f>
        <v>#N/A</v>
      </c>
      <c r="J55" t="e">
        <f>VLOOKUP($B55,'Rekentool Natuur en landschap'!$A$40:$I$73,8,0)*$D55</f>
        <v>#N/A</v>
      </c>
      <c r="K55" t="e">
        <f>VLOOKUP($B55,'Rekentool Natuur en landschap'!$A$40:$I$73,9,0)*$D55</f>
        <v>#N/A</v>
      </c>
    </row>
    <row r="56" spans="1:11" x14ac:dyDescent="0.25">
      <c r="A56" t="s">
        <v>206</v>
      </c>
      <c r="B56" s="6" t="s">
        <v>100</v>
      </c>
      <c r="C56" s="6" t="s">
        <v>99</v>
      </c>
      <c r="D56" s="7">
        <v>1.2800000000000001E-2</v>
      </c>
      <c r="E56" s="6" t="s">
        <v>209</v>
      </c>
      <c r="F56" s="6"/>
      <c r="G56" t="s">
        <v>195</v>
      </c>
      <c r="H56" t="s">
        <v>210</v>
      </c>
      <c r="I56" t="e">
        <f>VLOOKUP($B56,'Rekentool Natuur en landschap'!$A$40:$I$73,7,0)*$D56</f>
        <v>#N/A</v>
      </c>
      <c r="J56" t="e">
        <f>VLOOKUP($B56,'Rekentool Natuur en landschap'!$A$40:$I$73,8,0)*$D56</f>
        <v>#N/A</v>
      </c>
      <c r="K56" t="e">
        <f>VLOOKUP($B56,'Rekentool Natuur en landschap'!$A$40:$I$73,9,0)*$D56</f>
        <v>#N/A</v>
      </c>
    </row>
    <row r="57" spans="1:11" x14ac:dyDescent="0.25">
      <c r="A57" t="s">
        <v>191</v>
      </c>
      <c r="B57" s="6" t="s">
        <v>58</v>
      </c>
      <c r="C57" s="6" t="s">
        <v>211</v>
      </c>
      <c r="D57" s="7">
        <v>2.01203600930869</v>
      </c>
      <c r="E57" s="6" t="s">
        <v>212</v>
      </c>
      <c r="F57" s="6"/>
      <c r="G57" s="6" t="s">
        <v>213</v>
      </c>
      <c r="H57" s="6" t="s">
        <v>196</v>
      </c>
      <c r="I57" t="e">
        <f>VLOOKUP($B57,'Rekentool Natuur en landschap'!$A$40:$I$73,7,0)*$D57</f>
        <v>#N/A</v>
      </c>
      <c r="J57" t="e">
        <f>VLOOKUP($B57,'Rekentool Natuur en landschap'!$A$40:$I$73,8,0)*$D57</f>
        <v>#N/A</v>
      </c>
      <c r="K57" t="e">
        <f>VLOOKUP($B57,'Rekentool Natuur en landschap'!$A$40:$I$73,9,0)*$D57</f>
        <v>#N/A</v>
      </c>
    </row>
    <row r="58" spans="1:11" x14ac:dyDescent="0.25">
      <c r="A58" t="s">
        <v>191</v>
      </c>
      <c r="B58" s="6" t="s">
        <v>58</v>
      </c>
      <c r="C58" s="6" t="s">
        <v>211</v>
      </c>
      <c r="D58" s="7">
        <v>2.1143000000000001</v>
      </c>
      <c r="E58" s="6" t="s">
        <v>212</v>
      </c>
      <c r="F58" s="6"/>
      <c r="G58" s="6" t="s">
        <v>213</v>
      </c>
      <c r="H58" s="6" t="s">
        <v>196</v>
      </c>
      <c r="I58" t="e">
        <f>VLOOKUP($B58,'Rekentool Natuur en landschap'!$A$40:$I$73,7,0)*$D58</f>
        <v>#N/A</v>
      </c>
      <c r="J58" t="e">
        <f>VLOOKUP($B58,'Rekentool Natuur en landschap'!$A$40:$I$73,8,0)*$D58</f>
        <v>#N/A</v>
      </c>
      <c r="K58" t="e">
        <f>VLOOKUP($B58,'Rekentool Natuur en landschap'!$A$40:$I$73,9,0)*$D58</f>
        <v>#N/A</v>
      </c>
    </row>
    <row r="59" spans="1:11" x14ac:dyDescent="0.25">
      <c r="A59" t="s">
        <v>191</v>
      </c>
      <c r="B59" s="6" t="s">
        <v>58</v>
      </c>
      <c r="C59" s="6" t="s">
        <v>211</v>
      </c>
      <c r="D59" s="7">
        <v>2.5322</v>
      </c>
      <c r="E59" s="6" t="s">
        <v>212</v>
      </c>
      <c r="F59" s="6"/>
      <c r="G59" s="6" t="s">
        <v>213</v>
      </c>
      <c r="H59" s="6" t="s">
        <v>196</v>
      </c>
      <c r="I59" t="e">
        <f>VLOOKUP($B59,'Rekentool Natuur en landschap'!$A$40:$I$73,7,0)*$D59</f>
        <v>#N/A</v>
      </c>
      <c r="J59" t="e">
        <f>VLOOKUP($B59,'Rekentool Natuur en landschap'!$A$40:$I$73,8,0)*$D59</f>
        <v>#N/A</v>
      </c>
      <c r="K59" t="e">
        <f>VLOOKUP($B59,'Rekentool Natuur en landschap'!$A$40:$I$73,9,0)*$D59</f>
        <v>#N/A</v>
      </c>
    </row>
    <row r="60" spans="1:11" x14ac:dyDescent="0.25">
      <c r="A60" t="s">
        <v>191</v>
      </c>
      <c r="B60" s="6" t="s">
        <v>58</v>
      </c>
      <c r="C60" s="6" t="s">
        <v>211</v>
      </c>
      <c r="D60" s="7">
        <v>1.169</v>
      </c>
      <c r="E60" s="6" t="s">
        <v>212</v>
      </c>
      <c r="F60" s="6"/>
      <c r="G60" s="6" t="s">
        <v>213</v>
      </c>
      <c r="H60" s="6" t="s">
        <v>196</v>
      </c>
      <c r="I60" t="e">
        <f>VLOOKUP($B60,'Rekentool Natuur en landschap'!$A$40:$I$73,7,0)*$D60</f>
        <v>#N/A</v>
      </c>
      <c r="J60" t="e">
        <f>VLOOKUP($B60,'Rekentool Natuur en landschap'!$A$40:$I$73,8,0)*$D60</f>
        <v>#N/A</v>
      </c>
      <c r="K60" t="e">
        <f>VLOOKUP($B60,'Rekentool Natuur en landschap'!$A$40:$I$73,9,0)*$D60</f>
        <v>#N/A</v>
      </c>
    </row>
    <row r="61" spans="1:11" x14ac:dyDescent="0.25">
      <c r="A61" t="s">
        <v>191</v>
      </c>
      <c r="B61" s="6" t="s">
        <v>58</v>
      </c>
      <c r="C61" s="6" t="s">
        <v>211</v>
      </c>
      <c r="D61" s="7">
        <v>1.8391</v>
      </c>
      <c r="E61" s="6" t="s">
        <v>212</v>
      </c>
      <c r="F61" s="6"/>
      <c r="G61" s="6" t="s">
        <v>213</v>
      </c>
      <c r="H61" s="6" t="s">
        <v>196</v>
      </c>
      <c r="I61" t="e">
        <f>VLOOKUP($B61,'Rekentool Natuur en landschap'!$A$40:$I$73,7,0)*$D61</f>
        <v>#N/A</v>
      </c>
      <c r="J61" t="e">
        <f>VLOOKUP($B61,'Rekentool Natuur en landschap'!$A$40:$I$73,8,0)*$D61</f>
        <v>#N/A</v>
      </c>
      <c r="K61" t="e">
        <f>VLOOKUP($B61,'Rekentool Natuur en landschap'!$A$40:$I$73,9,0)*$D61</f>
        <v>#N/A</v>
      </c>
    </row>
    <row r="62" spans="1:11" x14ac:dyDescent="0.25">
      <c r="A62" t="s">
        <v>191</v>
      </c>
      <c r="B62" s="6" t="s">
        <v>58</v>
      </c>
      <c r="C62" s="6" t="s">
        <v>211</v>
      </c>
      <c r="D62" s="7">
        <v>1.6316999999999999</v>
      </c>
      <c r="E62" s="6" t="s">
        <v>212</v>
      </c>
      <c r="F62" s="6"/>
      <c r="G62" s="6" t="s">
        <v>213</v>
      </c>
      <c r="H62" s="6" t="s">
        <v>196</v>
      </c>
      <c r="I62" t="e">
        <f>VLOOKUP($B62,'Rekentool Natuur en landschap'!$A$40:$I$73,7,0)*$D62</f>
        <v>#N/A</v>
      </c>
      <c r="J62" t="e">
        <f>VLOOKUP($B62,'Rekentool Natuur en landschap'!$A$40:$I$73,8,0)*$D62</f>
        <v>#N/A</v>
      </c>
      <c r="K62" t="e">
        <f>VLOOKUP($B62,'Rekentool Natuur en landschap'!$A$40:$I$73,9,0)*$D62</f>
        <v>#N/A</v>
      </c>
    </row>
    <row r="63" spans="1:11" x14ac:dyDescent="0.25">
      <c r="B63" s="6" t="s">
        <v>204</v>
      </c>
      <c r="C63" s="6" t="s">
        <v>214</v>
      </c>
      <c r="D63" s="7">
        <v>0.25910483189439798</v>
      </c>
      <c r="E63" s="6" t="s">
        <v>212</v>
      </c>
      <c r="F63" s="6"/>
      <c r="G63" s="6" t="s">
        <v>213</v>
      </c>
      <c r="H63" s="6" t="s">
        <v>196</v>
      </c>
      <c r="J63"/>
    </row>
    <row r="64" spans="1:11" x14ac:dyDescent="0.25">
      <c r="A64" t="s">
        <v>191</v>
      </c>
      <c r="B64" s="6" t="s">
        <v>58</v>
      </c>
      <c r="C64" s="6" t="s">
        <v>211</v>
      </c>
      <c r="D64" s="7">
        <v>0.9526</v>
      </c>
      <c r="E64" s="6" t="s">
        <v>212</v>
      </c>
      <c r="F64" s="6"/>
      <c r="G64" s="6" t="s">
        <v>213</v>
      </c>
      <c r="H64" s="6" t="s">
        <v>196</v>
      </c>
      <c r="I64" t="e">
        <f>VLOOKUP($B64,'Rekentool Natuur en landschap'!$A$40:$I$73,7,0)*$D64</f>
        <v>#N/A</v>
      </c>
      <c r="J64" t="e">
        <f>VLOOKUP($B64,'Rekentool Natuur en landschap'!$A$40:$I$73,8,0)*$D64</f>
        <v>#N/A</v>
      </c>
      <c r="K64" t="e">
        <f>VLOOKUP($B64,'Rekentool Natuur en landschap'!$A$40:$I$73,9,0)*$D64</f>
        <v>#N/A</v>
      </c>
    </row>
    <row r="65" spans="1:11" x14ac:dyDescent="0.25">
      <c r="A65" t="s">
        <v>191</v>
      </c>
      <c r="B65" s="6" t="s">
        <v>58</v>
      </c>
      <c r="C65" s="6" t="s">
        <v>211</v>
      </c>
      <c r="D65" s="7">
        <v>0.41582918479231901</v>
      </c>
      <c r="E65" s="6" t="s">
        <v>212</v>
      </c>
      <c r="F65" s="6"/>
      <c r="G65" s="6" t="s">
        <v>213</v>
      </c>
      <c r="H65" s="6" t="s">
        <v>196</v>
      </c>
      <c r="I65" t="e">
        <f>VLOOKUP($B65,'Rekentool Natuur en landschap'!$A$40:$I$73,7,0)*$D65</f>
        <v>#N/A</v>
      </c>
      <c r="J65" t="e">
        <f>VLOOKUP($B65,'Rekentool Natuur en landschap'!$A$40:$I$73,8,0)*$D65</f>
        <v>#N/A</v>
      </c>
      <c r="K65" t="e">
        <f>VLOOKUP($B65,'Rekentool Natuur en landschap'!$A$40:$I$73,9,0)*$D65</f>
        <v>#N/A</v>
      </c>
    </row>
    <row r="66" spans="1:11" x14ac:dyDescent="0.25">
      <c r="A66" t="s">
        <v>191</v>
      </c>
      <c r="B66" s="6" t="s">
        <v>58</v>
      </c>
      <c r="C66" s="6" t="s">
        <v>211</v>
      </c>
      <c r="D66" s="7">
        <v>1.16128624995095</v>
      </c>
      <c r="E66" s="6" t="s">
        <v>212</v>
      </c>
      <c r="F66" s="6"/>
      <c r="G66" s="6" t="s">
        <v>213</v>
      </c>
      <c r="H66" s="6" t="s">
        <v>196</v>
      </c>
      <c r="I66" t="e">
        <f>VLOOKUP($B66,'Rekentool Natuur en landschap'!$A$40:$I$73,7,0)*$D66</f>
        <v>#N/A</v>
      </c>
      <c r="J66" t="e">
        <f>VLOOKUP($B66,'Rekentool Natuur en landschap'!$A$40:$I$73,8,0)*$D66</f>
        <v>#N/A</v>
      </c>
      <c r="K66" t="e">
        <f>VLOOKUP($B66,'Rekentool Natuur en landschap'!$A$40:$I$73,9,0)*$D66</f>
        <v>#N/A</v>
      </c>
    </row>
    <row r="67" spans="1:11" x14ac:dyDescent="0.25">
      <c r="A67" t="s">
        <v>191</v>
      </c>
      <c r="B67" s="6" t="s">
        <v>72</v>
      </c>
      <c r="C67" s="6" t="s">
        <v>215</v>
      </c>
      <c r="D67" s="7">
        <v>0.1963</v>
      </c>
      <c r="E67" s="6" t="s">
        <v>212</v>
      </c>
      <c r="F67" s="6"/>
      <c r="G67" s="6" t="s">
        <v>213</v>
      </c>
      <c r="H67" s="6" t="s">
        <v>196</v>
      </c>
      <c r="I67" t="e">
        <f>VLOOKUP($B67,'Rekentool Natuur en landschap'!$A$40:$I$73,7,0)*$D67</f>
        <v>#N/A</v>
      </c>
      <c r="J67" t="e">
        <f>VLOOKUP($B67,'Rekentool Natuur en landschap'!$A$40:$I$73,8,0)*$D67</f>
        <v>#N/A</v>
      </c>
      <c r="K67" t="e">
        <f>VLOOKUP($B67,'Rekentool Natuur en landschap'!$A$40:$I$73,9,0)*$D67</f>
        <v>#N/A</v>
      </c>
    </row>
    <row r="68" spans="1:11" x14ac:dyDescent="0.25">
      <c r="A68" t="s">
        <v>191</v>
      </c>
      <c r="B68" s="6" t="s">
        <v>72</v>
      </c>
      <c r="C68" s="6" t="s">
        <v>215</v>
      </c>
      <c r="D68" s="7">
        <v>9.6337497965352903E-2</v>
      </c>
      <c r="E68" s="6" t="s">
        <v>212</v>
      </c>
      <c r="F68" s="6"/>
      <c r="G68" s="6" t="s">
        <v>213</v>
      </c>
      <c r="H68" s="6" t="s">
        <v>196</v>
      </c>
      <c r="I68" t="e">
        <f>VLOOKUP($B68,'Rekentool Natuur en landschap'!$A$40:$I$73,7,0)*$D68</f>
        <v>#N/A</v>
      </c>
      <c r="J68" t="e">
        <f>VLOOKUP($B68,'Rekentool Natuur en landschap'!$A$40:$I$73,8,0)*$D68</f>
        <v>#N/A</v>
      </c>
      <c r="K68" t="e">
        <f>VLOOKUP($B68,'Rekentool Natuur en landschap'!$A$40:$I$73,9,0)*$D68</f>
        <v>#N/A</v>
      </c>
    </row>
    <row r="69" spans="1:11" x14ac:dyDescent="0.25">
      <c r="A69" t="s">
        <v>191</v>
      </c>
      <c r="B69" s="6" t="s">
        <v>58</v>
      </c>
      <c r="C69" s="6" t="s">
        <v>211</v>
      </c>
      <c r="D69" s="7">
        <v>2.0528517982283101</v>
      </c>
      <c r="E69" s="6" t="s">
        <v>212</v>
      </c>
      <c r="F69" s="6"/>
      <c r="G69" s="6" t="s">
        <v>213</v>
      </c>
      <c r="H69" s="6" t="s">
        <v>196</v>
      </c>
      <c r="I69" t="e">
        <f>VLOOKUP($B69,'Rekentool Natuur en landschap'!$A$40:$I$73,7,0)*$D69</f>
        <v>#N/A</v>
      </c>
      <c r="J69" t="e">
        <f>VLOOKUP($B69,'Rekentool Natuur en landschap'!$A$40:$I$73,8,0)*$D69</f>
        <v>#N/A</v>
      </c>
      <c r="K69" t="e">
        <f>VLOOKUP($B69,'Rekentool Natuur en landschap'!$A$40:$I$73,9,0)*$D69</f>
        <v>#N/A</v>
      </c>
    </row>
    <row r="70" spans="1:11" x14ac:dyDescent="0.25">
      <c r="B70" s="6" t="s">
        <v>204</v>
      </c>
      <c r="C70" s="6" t="s">
        <v>214</v>
      </c>
      <c r="D70" s="7">
        <v>0.25713142813221901</v>
      </c>
      <c r="E70" s="6" t="s">
        <v>212</v>
      </c>
      <c r="F70" s="6"/>
      <c r="G70" s="6" t="s">
        <v>213</v>
      </c>
      <c r="H70" s="6" t="s">
        <v>196</v>
      </c>
      <c r="J70"/>
    </row>
    <row r="71" spans="1:11" x14ac:dyDescent="0.25">
      <c r="B71" s="6" t="s">
        <v>204</v>
      </c>
      <c r="C71" s="6" t="s">
        <v>214</v>
      </c>
      <c r="D71" s="7">
        <v>0.26017232275149699</v>
      </c>
      <c r="E71" s="6" t="s">
        <v>212</v>
      </c>
      <c r="F71" s="6"/>
      <c r="G71" s="6" t="s">
        <v>213</v>
      </c>
      <c r="H71" s="6" t="s">
        <v>196</v>
      </c>
      <c r="J71"/>
    </row>
    <row r="72" spans="1:11" x14ac:dyDescent="0.25">
      <c r="B72" s="6" t="s">
        <v>204</v>
      </c>
      <c r="C72" s="6" t="s">
        <v>214</v>
      </c>
      <c r="D72" s="7">
        <v>0.25925106224298999</v>
      </c>
      <c r="E72" s="6" t="s">
        <v>212</v>
      </c>
      <c r="F72" s="6"/>
      <c r="G72" s="6" t="s">
        <v>213</v>
      </c>
      <c r="H72" s="6" t="s">
        <v>196</v>
      </c>
      <c r="J72"/>
    </row>
    <row r="73" spans="1:11" x14ac:dyDescent="0.25">
      <c r="B73" s="6" t="s">
        <v>204</v>
      </c>
      <c r="C73" s="6" t="s">
        <v>214</v>
      </c>
      <c r="D73" s="7">
        <v>0.26371413648969</v>
      </c>
      <c r="E73" s="6" t="s">
        <v>212</v>
      </c>
      <c r="F73" s="6"/>
      <c r="G73" s="6" t="s">
        <v>213</v>
      </c>
      <c r="H73" s="6" t="s">
        <v>196</v>
      </c>
      <c r="J73"/>
    </row>
    <row r="74" spans="1:11" x14ac:dyDescent="0.25">
      <c r="B74" s="6" t="s">
        <v>204</v>
      </c>
      <c r="C74" s="6" t="s">
        <v>214</v>
      </c>
      <c r="D74" s="7">
        <v>0.261179794598913</v>
      </c>
      <c r="E74" s="6" t="s">
        <v>212</v>
      </c>
      <c r="F74" s="6"/>
      <c r="G74" s="6" t="s">
        <v>213</v>
      </c>
      <c r="H74" s="6" t="s">
        <v>196</v>
      </c>
      <c r="J74"/>
    </row>
    <row r="75" spans="1:11" x14ac:dyDescent="0.25">
      <c r="B75" s="6" t="s">
        <v>204</v>
      </c>
      <c r="C75" s="6" t="s">
        <v>214</v>
      </c>
      <c r="D75" s="7">
        <v>0.25900777997924301</v>
      </c>
      <c r="E75" s="6" t="s">
        <v>212</v>
      </c>
      <c r="F75" s="6"/>
      <c r="G75" s="6" t="s">
        <v>213</v>
      </c>
      <c r="H75" s="6" t="s">
        <v>196</v>
      </c>
      <c r="J75"/>
    </row>
    <row r="76" spans="1:11" x14ac:dyDescent="0.25">
      <c r="B76" s="6" t="s">
        <v>204</v>
      </c>
      <c r="C76" s="6" t="s">
        <v>214</v>
      </c>
      <c r="D76" s="7">
        <v>0.255144880942684</v>
      </c>
      <c r="E76" s="6" t="s">
        <v>212</v>
      </c>
      <c r="F76" s="6"/>
      <c r="G76" s="6" t="s">
        <v>213</v>
      </c>
      <c r="H76" s="6" t="s">
        <v>196</v>
      </c>
      <c r="J76"/>
    </row>
    <row r="77" spans="1:11" x14ac:dyDescent="0.25">
      <c r="B77" s="6" t="s">
        <v>204</v>
      </c>
      <c r="C77" s="6" t="s">
        <v>214</v>
      </c>
      <c r="D77" s="7">
        <v>0.261459363791609</v>
      </c>
      <c r="E77" s="6" t="s">
        <v>212</v>
      </c>
      <c r="F77" s="6"/>
      <c r="G77" s="6" t="s">
        <v>213</v>
      </c>
      <c r="H77" s="6" t="s">
        <v>196</v>
      </c>
      <c r="J77"/>
    </row>
    <row r="78" spans="1:11" x14ac:dyDescent="0.25">
      <c r="B78" s="6" t="s">
        <v>204</v>
      </c>
      <c r="C78" s="6" t="s">
        <v>214</v>
      </c>
      <c r="D78" s="7">
        <v>0.26225030320689502</v>
      </c>
      <c r="E78" s="6" t="s">
        <v>212</v>
      </c>
      <c r="F78" s="6"/>
      <c r="G78" s="6" t="s">
        <v>213</v>
      </c>
      <c r="H78" s="6" t="s">
        <v>196</v>
      </c>
      <c r="J78"/>
    </row>
    <row r="79" spans="1:11" x14ac:dyDescent="0.25">
      <c r="B79" s="6" t="s">
        <v>204</v>
      </c>
      <c r="C79" s="6" t="s">
        <v>214</v>
      </c>
      <c r="D79" s="7">
        <v>0.25690048834615098</v>
      </c>
      <c r="E79" s="6" t="s">
        <v>212</v>
      </c>
      <c r="F79" s="6"/>
      <c r="G79" s="6" t="s">
        <v>213</v>
      </c>
      <c r="H79" s="6" t="s">
        <v>196</v>
      </c>
      <c r="J79"/>
    </row>
    <row r="80" spans="1:11" x14ac:dyDescent="0.25">
      <c r="B80" s="6" t="s">
        <v>204</v>
      </c>
      <c r="C80" s="6" t="s">
        <v>214</v>
      </c>
      <c r="D80" s="7">
        <v>0.26070971886356897</v>
      </c>
      <c r="E80" s="6" t="s">
        <v>212</v>
      </c>
      <c r="F80" s="6"/>
      <c r="G80" s="6" t="s">
        <v>213</v>
      </c>
      <c r="H80" s="6" t="s">
        <v>196</v>
      </c>
      <c r="J80"/>
    </row>
    <row r="81" spans="1:11" x14ac:dyDescent="0.25">
      <c r="B81" s="6" t="s">
        <v>204</v>
      </c>
      <c r="C81" s="6" t="s">
        <v>214</v>
      </c>
      <c r="D81" s="7">
        <v>0.28294146336869103</v>
      </c>
      <c r="E81" s="6" t="s">
        <v>212</v>
      </c>
      <c r="F81" s="6"/>
      <c r="G81" s="6" t="s">
        <v>213</v>
      </c>
      <c r="H81" s="6" t="s">
        <v>196</v>
      </c>
      <c r="J81"/>
    </row>
    <row r="82" spans="1:11" x14ac:dyDescent="0.25">
      <c r="B82" s="6" t="s">
        <v>204</v>
      </c>
      <c r="C82" s="6" t="s">
        <v>214</v>
      </c>
      <c r="D82" s="7">
        <v>0.25796036443850501</v>
      </c>
      <c r="E82" s="6" t="s">
        <v>212</v>
      </c>
      <c r="F82" s="6"/>
      <c r="G82" s="6" t="s">
        <v>213</v>
      </c>
      <c r="H82" s="6" t="s">
        <v>196</v>
      </c>
      <c r="J82"/>
    </row>
    <row r="83" spans="1:11" x14ac:dyDescent="0.25">
      <c r="B83" s="6" t="s">
        <v>204</v>
      </c>
      <c r="C83" s="6" t="s">
        <v>214</v>
      </c>
      <c r="D83" s="7">
        <v>0.25934410488120302</v>
      </c>
      <c r="E83" s="6" t="s">
        <v>212</v>
      </c>
      <c r="F83" s="6"/>
      <c r="G83" s="6" t="s">
        <v>213</v>
      </c>
      <c r="H83" s="6" t="s">
        <v>196</v>
      </c>
      <c r="J83"/>
    </row>
    <row r="84" spans="1:11" x14ac:dyDescent="0.25">
      <c r="A84" t="s">
        <v>206</v>
      </c>
      <c r="B84" s="6" t="s">
        <v>104</v>
      </c>
      <c r="C84" s="6" t="s">
        <v>216</v>
      </c>
      <c r="D84" s="7">
        <v>0.25934410488120302</v>
      </c>
      <c r="E84" s="6" t="s">
        <v>212</v>
      </c>
      <c r="F84" s="6"/>
      <c r="G84" s="6" t="s">
        <v>213</v>
      </c>
      <c r="H84" s="6" t="s">
        <v>196</v>
      </c>
      <c r="I84" t="e">
        <f>VLOOKUP($B84,'Rekentool Natuur en landschap'!$A$40:$I$73,7,0)*$D84</f>
        <v>#N/A</v>
      </c>
      <c r="J84" t="e">
        <f>VLOOKUP($B84,'Rekentool Natuur en landschap'!$A$40:$I$73,8,0)*$D84</f>
        <v>#N/A</v>
      </c>
      <c r="K84" t="e">
        <f>VLOOKUP($B84,'Rekentool Natuur en landschap'!$A$40:$I$73,9,0)*$D84</f>
        <v>#N/A</v>
      </c>
    </row>
    <row r="85" spans="1:11" x14ac:dyDescent="0.25">
      <c r="A85" t="s">
        <v>206</v>
      </c>
      <c r="B85" s="6" t="s">
        <v>104</v>
      </c>
      <c r="C85" s="6" t="s">
        <v>216</v>
      </c>
      <c r="D85" s="7">
        <v>0.25796036443850501</v>
      </c>
      <c r="E85" s="6" t="s">
        <v>212</v>
      </c>
      <c r="F85" s="6"/>
      <c r="G85" s="6" t="s">
        <v>213</v>
      </c>
      <c r="H85" s="6" t="s">
        <v>196</v>
      </c>
      <c r="I85" t="e">
        <f>VLOOKUP($B85,'Rekentool Natuur en landschap'!$A$40:$I$73,7,0)*$D85</f>
        <v>#N/A</v>
      </c>
      <c r="J85" t="e">
        <f>VLOOKUP($B85,'Rekentool Natuur en landschap'!$A$40:$I$73,8,0)*$D85</f>
        <v>#N/A</v>
      </c>
      <c r="K85" t="e">
        <f>VLOOKUP($B85,'Rekentool Natuur en landschap'!$A$40:$I$73,9,0)*$D85</f>
        <v>#N/A</v>
      </c>
    </row>
    <row r="86" spans="1:11" x14ac:dyDescent="0.25">
      <c r="A86" t="s">
        <v>206</v>
      </c>
      <c r="B86" s="6" t="s">
        <v>104</v>
      </c>
      <c r="C86" s="6" t="s">
        <v>216</v>
      </c>
      <c r="D86" s="7">
        <v>0.25910483189439798</v>
      </c>
      <c r="E86" s="6" t="s">
        <v>212</v>
      </c>
      <c r="F86" s="6"/>
      <c r="G86" s="6" t="s">
        <v>213</v>
      </c>
      <c r="H86" s="6" t="s">
        <v>196</v>
      </c>
      <c r="I86" t="e">
        <f>VLOOKUP($B86,'Rekentool Natuur en landschap'!$A$40:$I$73,7,0)*$D86</f>
        <v>#N/A</v>
      </c>
      <c r="J86" t="e">
        <f>VLOOKUP($B86,'Rekentool Natuur en landschap'!$A$40:$I$73,8,0)*$D86</f>
        <v>#N/A</v>
      </c>
      <c r="K86" t="e">
        <f>VLOOKUP($B86,'Rekentool Natuur en landschap'!$A$40:$I$73,9,0)*$D86</f>
        <v>#N/A</v>
      </c>
    </row>
    <row r="87" spans="1:11" x14ac:dyDescent="0.25">
      <c r="A87" t="s">
        <v>206</v>
      </c>
      <c r="B87" s="6" t="s">
        <v>104</v>
      </c>
      <c r="C87" s="6" t="s">
        <v>216</v>
      </c>
      <c r="D87" s="7">
        <v>0.25713142813221901</v>
      </c>
      <c r="E87" s="6" t="s">
        <v>212</v>
      </c>
      <c r="F87" s="6"/>
      <c r="G87" s="6" t="s">
        <v>213</v>
      </c>
      <c r="H87" s="6" t="s">
        <v>196</v>
      </c>
      <c r="I87" t="e">
        <f>VLOOKUP($B87,'Rekentool Natuur en landschap'!$A$40:$I$73,7,0)*$D87</f>
        <v>#N/A</v>
      </c>
      <c r="J87" t="e">
        <f>VLOOKUP($B87,'Rekentool Natuur en landschap'!$A$40:$I$73,8,0)*$D87</f>
        <v>#N/A</v>
      </c>
      <c r="K87" t="e">
        <f>VLOOKUP($B87,'Rekentool Natuur en landschap'!$A$40:$I$73,9,0)*$D87</f>
        <v>#N/A</v>
      </c>
    </row>
    <row r="88" spans="1:11" x14ac:dyDescent="0.25">
      <c r="A88" t="s">
        <v>206</v>
      </c>
      <c r="B88" s="6" t="s">
        <v>104</v>
      </c>
      <c r="C88" s="6" t="s">
        <v>216</v>
      </c>
      <c r="D88" s="7">
        <v>0.26017232275149699</v>
      </c>
      <c r="E88" s="6" t="s">
        <v>212</v>
      </c>
      <c r="F88" s="6"/>
      <c r="G88" s="6" t="s">
        <v>213</v>
      </c>
      <c r="H88" s="6" t="s">
        <v>196</v>
      </c>
      <c r="I88" t="e">
        <f>VLOOKUP($B88,'Rekentool Natuur en landschap'!$A$40:$I$73,7,0)*$D88</f>
        <v>#N/A</v>
      </c>
      <c r="J88" t="e">
        <f>VLOOKUP($B88,'Rekentool Natuur en landschap'!$A$40:$I$73,8,0)*$D88</f>
        <v>#N/A</v>
      </c>
      <c r="K88" t="e">
        <f>VLOOKUP($B88,'Rekentool Natuur en landschap'!$A$40:$I$73,9,0)*$D88</f>
        <v>#N/A</v>
      </c>
    </row>
    <row r="89" spans="1:11" x14ac:dyDescent="0.25">
      <c r="A89" t="s">
        <v>206</v>
      </c>
      <c r="B89" s="6" t="s">
        <v>104</v>
      </c>
      <c r="C89" s="6" t="s">
        <v>216</v>
      </c>
      <c r="D89" s="7">
        <v>0.25925106224298999</v>
      </c>
      <c r="E89" s="6" t="s">
        <v>212</v>
      </c>
      <c r="F89" s="6"/>
      <c r="G89" s="6" t="s">
        <v>213</v>
      </c>
      <c r="H89" s="6" t="s">
        <v>196</v>
      </c>
      <c r="I89" t="e">
        <f>VLOOKUP($B89,'Rekentool Natuur en landschap'!$A$40:$I$73,7,0)*$D89</f>
        <v>#N/A</v>
      </c>
      <c r="J89" t="e">
        <f>VLOOKUP($B89,'Rekentool Natuur en landschap'!$A$40:$I$73,8,0)*$D89</f>
        <v>#N/A</v>
      </c>
      <c r="K89" t="e">
        <f>VLOOKUP($B89,'Rekentool Natuur en landschap'!$A$40:$I$73,9,0)*$D89</f>
        <v>#N/A</v>
      </c>
    </row>
    <row r="90" spans="1:11" x14ac:dyDescent="0.25">
      <c r="A90" t="s">
        <v>206</v>
      </c>
      <c r="B90" s="6" t="s">
        <v>104</v>
      </c>
      <c r="C90" s="6" t="s">
        <v>216</v>
      </c>
      <c r="D90" s="7">
        <v>0.26371413648969</v>
      </c>
      <c r="E90" s="6" t="s">
        <v>212</v>
      </c>
      <c r="F90" s="6"/>
      <c r="G90" s="6" t="s">
        <v>213</v>
      </c>
      <c r="H90" s="6" t="s">
        <v>196</v>
      </c>
      <c r="I90" t="e">
        <f>VLOOKUP($B90,'Rekentool Natuur en landschap'!$A$40:$I$73,7,0)*$D90</f>
        <v>#N/A</v>
      </c>
      <c r="J90" t="e">
        <f>VLOOKUP($B90,'Rekentool Natuur en landschap'!$A$40:$I$73,8,0)*$D90</f>
        <v>#N/A</v>
      </c>
      <c r="K90" t="e">
        <f>VLOOKUP($B90,'Rekentool Natuur en landschap'!$A$40:$I$73,9,0)*$D90</f>
        <v>#N/A</v>
      </c>
    </row>
    <row r="91" spans="1:11" x14ac:dyDescent="0.25">
      <c r="A91" t="s">
        <v>206</v>
      </c>
      <c r="B91" s="6" t="s">
        <v>104</v>
      </c>
      <c r="C91" s="6" t="s">
        <v>216</v>
      </c>
      <c r="D91" s="7">
        <v>0.261179794598913</v>
      </c>
      <c r="E91" s="6" t="s">
        <v>212</v>
      </c>
      <c r="F91" s="6"/>
      <c r="G91" s="6" t="s">
        <v>213</v>
      </c>
      <c r="H91" s="6" t="s">
        <v>196</v>
      </c>
      <c r="I91" t="e">
        <f>VLOOKUP($B91,'Rekentool Natuur en landschap'!$A$40:$I$73,7,0)*$D91</f>
        <v>#N/A</v>
      </c>
      <c r="J91" t="e">
        <f>VLOOKUP($B91,'Rekentool Natuur en landschap'!$A$40:$I$73,8,0)*$D91</f>
        <v>#N/A</v>
      </c>
      <c r="K91" t="e">
        <f>VLOOKUP($B91,'Rekentool Natuur en landschap'!$A$40:$I$73,9,0)*$D91</f>
        <v>#N/A</v>
      </c>
    </row>
    <row r="92" spans="1:11" x14ac:dyDescent="0.25">
      <c r="A92" t="s">
        <v>206</v>
      </c>
      <c r="B92" s="6" t="s">
        <v>104</v>
      </c>
      <c r="C92" s="6" t="s">
        <v>216</v>
      </c>
      <c r="D92" s="7">
        <v>0.25900777997924301</v>
      </c>
      <c r="E92" s="6" t="s">
        <v>212</v>
      </c>
      <c r="F92" s="6"/>
      <c r="G92" s="6" t="s">
        <v>213</v>
      </c>
      <c r="H92" s="6" t="s">
        <v>196</v>
      </c>
      <c r="I92" t="e">
        <f>VLOOKUP($B92,'Rekentool Natuur en landschap'!$A$40:$I$73,7,0)*$D92</f>
        <v>#N/A</v>
      </c>
      <c r="J92" t="e">
        <f>VLOOKUP($B92,'Rekentool Natuur en landschap'!$A$40:$I$73,8,0)*$D92</f>
        <v>#N/A</v>
      </c>
      <c r="K92" t="e">
        <f>VLOOKUP($B92,'Rekentool Natuur en landschap'!$A$40:$I$73,9,0)*$D92</f>
        <v>#N/A</v>
      </c>
    </row>
    <row r="93" spans="1:11" x14ac:dyDescent="0.25">
      <c r="A93" t="s">
        <v>206</v>
      </c>
      <c r="B93" s="6" t="s">
        <v>104</v>
      </c>
      <c r="C93" s="6" t="s">
        <v>216</v>
      </c>
      <c r="D93" s="7">
        <v>0.25514488103862398</v>
      </c>
      <c r="E93" s="6" t="s">
        <v>212</v>
      </c>
      <c r="F93" s="6"/>
      <c r="G93" s="6" t="s">
        <v>213</v>
      </c>
      <c r="H93" s="6" t="s">
        <v>196</v>
      </c>
      <c r="I93" t="e">
        <f>VLOOKUP($B93,'Rekentool Natuur en landschap'!$A$40:$I$73,7,0)*$D93</f>
        <v>#N/A</v>
      </c>
      <c r="J93" t="e">
        <f>VLOOKUP($B93,'Rekentool Natuur en landschap'!$A$40:$I$73,8,0)*$D93</f>
        <v>#N/A</v>
      </c>
      <c r="K93" t="e">
        <f>VLOOKUP($B93,'Rekentool Natuur en landschap'!$A$40:$I$73,9,0)*$D93</f>
        <v>#N/A</v>
      </c>
    </row>
    <row r="94" spans="1:11" x14ac:dyDescent="0.25">
      <c r="A94" t="s">
        <v>206</v>
      </c>
      <c r="B94" s="6" t="s">
        <v>104</v>
      </c>
      <c r="C94" s="6" t="s">
        <v>216</v>
      </c>
      <c r="D94" s="7">
        <v>0.261459363791609</v>
      </c>
      <c r="E94" s="6" t="s">
        <v>212</v>
      </c>
      <c r="F94" s="6"/>
      <c r="G94" s="6" t="s">
        <v>213</v>
      </c>
      <c r="H94" s="6" t="s">
        <v>196</v>
      </c>
      <c r="I94" t="e">
        <f>VLOOKUP($B94,'Rekentool Natuur en landschap'!$A$40:$I$73,7,0)*$D94</f>
        <v>#N/A</v>
      </c>
      <c r="J94" t="e">
        <f>VLOOKUP($B94,'Rekentool Natuur en landschap'!$A$40:$I$73,8,0)*$D94</f>
        <v>#N/A</v>
      </c>
      <c r="K94" t="e">
        <f>VLOOKUP($B94,'Rekentool Natuur en landschap'!$A$40:$I$73,9,0)*$D94</f>
        <v>#N/A</v>
      </c>
    </row>
    <row r="95" spans="1:11" x14ac:dyDescent="0.25">
      <c r="A95" t="s">
        <v>206</v>
      </c>
      <c r="B95" s="6" t="s">
        <v>104</v>
      </c>
      <c r="C95" s="6" t="s">
        <v>216</v>
      </c>
      <c r="D95" s="7">
        <v>0.26225030320689502</v>
      </c>
      <c r="E95" s="6" t="s">
        <v>212</v>
      </c>
      <c r="F95" s="6"/>
      <c r="G95" s="6" t="s">
        <v>213</v>
      </c>
      <c r="H95" s="6" t="s">
        <v>196</v>
      </c>
      <c r="I95" t="e">
        <f>VLOOKUP($B95,'Rekentool Natuur en landschap'!$A$40:$I$73,7,0)*$D95</f>
        <v>#N/A</v>
      </c>
      <c r="J95" t="e">
        <f>VLOOKUP($B95,'Rekentool Natuur en landschap'!$A$40:$I$73,8,0)*$D95</f>
        <v>#N/A</v>
      </c>
      <c r="K95" t="e">
        <f>VLOOKUP($B95,'Rekentool Natuur en landschap'!$A$40:$I$73,9,0)*$D95</f>
        <v>#N/A</v>
      </c>
    </row>
    <row r="96" spans="1:11" x14ac:dyDescent="0.25">
      <c r="A96" t="s">
        <v>206</v>
      </c>
      <c r="B96" s="6" t="s">
        <v>104</v>
      </c>
      <c r="C96" s="6" t="s">
        <v>216</v>
      </c>
      <c r="D96" s="7">
        <v>0.25690048834615098</v>
      </c>
      <c r="E96" s="6" t="s">
        <v>212</v>
      </c>
      <c r="F96" s="6"/>
      <c r="G96" s="6" t="s">
        <v>213</v>
      </c>
      <c r="H96" s="6" t="s">
        <v>196</v>
      </c>
      <c r="I96" t="e">
        <f>VLOOKUP($B96,'Rekentool Natuur en landschap'!$A$40:$I$73,7,0)*$D96</f>
        <v>#N/A</v>
      </c>
      <c r="J96" t="e">
        <f>VLOOKUP($B96,'Rekentool Natuur en landschap'!$A$40:$I$73,8,0)*$D96</f>
        <v>#N/A</v>
      </c>
      <c r="K96" t="e">
        <f>VLOOKUP($B96,'Rekentool Natuur en landschap'!$A$40:$I$73,9,0)*$D96</f>
        <v>#N/A</v>
      </c>
    </row>
    <row r="97" spans="1:11" x14ac:dyDescent="0.25">
      <c r="A97" t="s">
        <v>206</v>
      </c>
      <c r="B97" s="6" t="s">
        <v>104</v>
      </c>
      <c r="C97" s="6" t="s">
        <v>216</v>
      </c>
      <c r="D97" s="7">
        <v>0.26070971886356897</v>
      </c>
      <c r="E97" s="6" t="s">
        <v>212</v>
      </c>
      <c r="F97" s="6"/>
      <c r="G97" s="6" t="s">
        <v>213</v>
      </c>
      <c r="H97" s="6" t="s">
        <v>196</v>
      </c>
      <c r="I97" t="e">
        <f>VLOOKUP($B97,'Rekentool Natuur en landschap'!$A$40:$I$73,7,0)*$D97</f>
        <v>#N/A</v>
      </c>
      <c r="J97" t="e">
        <f>VLOOKUP($B97,'Rekentool Natuur en landschap'!$A$40:$I$73,8,0)*$D97</f>
        <v>#N/A</v>
      </c>
      <c r="K97" t="e">
        <f>VLOOKUP($B97,'Rekentool Natuur en landschap'!$A$40:$I$73,9,0)*$D97</f>
        <v>#N/A</v>
      </c>
    </row>
    <row r="98" spans="1:11" x14ac:dyDescent="0.25">
      <c r="A98" t="s">
        <v>191</v>
      </c>
      <c r="B98" s="6" t="s">
        <v>58</v>
      </c>
      <c r="C98" s="6" t="s">
        <v>211</v>
      </c>
      <c r="D98" s="7">
        <v>1.08956353400254</v>
      </c>
      <c r="E98" s="6" t="s">
        <v>212</v>
      </c>
      <c r="F98" s="6"/>
      <c r="G98" s="6" t="s">
        <v>213</v>
      </c>
      <c r="H98" s="6" t="s">
        <v>196</v>
      </c>
      <c r="I98" t="e">
        <f>VLOOKUP($B98,'Rekentool Natuur en landschap'!$A$40:$I$73,7,0)*$D98</f>
        <v>#N/A</v>
      </c>
      <c r="J98" t="e">
        <f>VLOOKUP($B98,'Rekentool Natuur en landschap'!$A$40:$I$73,8,0)*$D98</f>
        <v>#N/A</v>
      </c>
      <c r="K98" t="e">
        <f>VLOOKUP($B98,'Rekentool Natuur en landschap'!$A$40:$I$73,9,0)*$D98</f>
        <v>#N/A</v>
      </c>
    </row>
    <row r="99" spans="1:11" x14ac:dyDescent="0.25">
      <c r="A99" t="s">
        <v>191</v>
      </c>
      <c r="B99" s="6" t="s">
        <v>58</v>
      </c>
      <c r="C99" s="6" t="s">
        <v>211</v>
      </c>
      <c r="D99" s="7">
        <v>1.0087107849744501</v>
      </c>
      <c r="E99" s="6" t="s">
        <v>212</v>
      </c>
      <c r="F99" s="6"/>
      <c r="G99" s="6" t="s">
        <v>213</v>
      </c>
      <c r="H99" s="6" t="s">
        <v>196</v>
      </c>
      <c r="I99" t="e">
        <f>VLOOKUP($B99,'Rekentool Natuur en landschap'!$A$40:$I$73,7,0)*$D99</f>
        <v>#N/A</v>
      </c>
      <c r="J99" t="e">
        <f>VLOOKUP($B99,'Rekentool Natuur en landschap'!$A$40:$I$73,8,0)*$D99</f>
        <v>#N/A</v>
      </c>
      <c r="K99" t="e">
        <f>VLOOKUP($B99,'Rekentool Natuur en landschap'!$A$40:$I$73,9,0)*$D99</f>
        <v>#N/A</v>
      </c>
    </row>
    <row r="100" spans="1:11" x14ac:dyDescent="0.25">
      <c r="A100" t="s">
        <v>191</v>
      </c>
      <c r="B100" s="6" t="s">
        <v>58</v>
      </c>
      <c r="C100" s="6" t="s">
        <v>211</v>
      </c>
      <c r="D100" s="7">
        <v>1.63665842339319</v>
      </c>
      <c r="E100" s="6" t="s">
        <v>212</v>
      </c>
      <c r="F100" s="6"/>
      <c r="G100" s="6" t="s">
        <v>213</v>
      </c>
      <c r="H100" s="6" t="s">
        <v>196</v>
      </c>
      <c r="I100" t="e">
        <f>VLOOKUP($B100,'Rekentool Natuur en landschap'!$A$40:$I$73,7,0)*$D100</f>
        <v>#N/A</v>
      </c>
      <c r="J100" t="e">
        <f>VLOOKUP($B100,'Rekentool Natuur en landschap'!$A$40:$I$73,8,0)*$D100</f>
        <v>#N/A</v>
      </c>
      <c r="K100" t="e">
        <f>VLOOKUP($B100,'Rekentool Natuur en landschap'!$A$40:$I$73,9,0)*$D100</f>
        <v>#N/A</v>
      </c>
    </row>
    <row r="101" spans="1:11" x14ac:dyDescent="0.25">
      <c r="A101" t="s">
        <v>206</v>
      </c>
      <c r="B101" s="6" t="s">
        <v>104</v>
      </c>
      <c r="C101" s="6" t="s">
        <v>216</v>
      </c>
      <c r="D101" s="7">
        <v>0.28294146336869103</v>
      </c>
      <c r="E101" s="6" t="s">
        <v>212</v>
      </c>
      <c r="F101" s="6"/>
      <c r="G101" s="6" t="s">
        <v>213</v>
      </c>
      <c r="H101" s="6" t="s">
        <v>196</v>
      </c>
      <c r="I101" t="e">
        <f>VLOOKUP($B101,'Rekentool Natuur en landschap'!$A$40:$I$73,7,0)*$D101</f>
        <v>#N/A</v>
      </c>
      <c r="J101" t="e">
        <f>VLOOKUP($B101,'Rekentool Natuur en landschap'!$A$40:$I$73,8,0)*$D101</f>
        <v>#N/A</v>
      </c>
      <c r="K101" t="e">
        <f>VLOOKUP($B101,'Rekentool Natuur en landschap'!$A$40:$I$73,9,0)*$D101</f>
        <v>#N/A</v>
      </c>
    </row>
    <row r="102" spans="1:11" x14ac:dyDescent="0.25">
      <c r="A102" t="s">
        <v>191</v>
      </c>
      <c r="B102" s="6" t="s">
        <v>58</v>
      </c>
      <c r="C102" s="6" t="s">
        <v>211</v>
      </c>
      <c r="D102" s="7">
        <v>3.7515064150058</v>
      </c>
      <c r="E102" s="6" t="s">
        <v>212</v>
      </c>
      <c r="F102" s="6"/>
      <c r="G102" s="6" t="s">
        <v>213</v>
      </c>
      <c r="H102" s="6" t="s">
        <v>196</v>
      </c>
      <c r="I102" t="e">
        <f>VLOOKUP($B102,'Rekentool Natuur en landschap'!$A$40:$I$73,7,0)*$D102</f>
        <v>#N/A</v>
      </c>
      <c r="J102" t="e">
        <f>VLOOKUP($B102,'Rekentool Natuur en landschap'!$A$40:$I$73,8,0)*$D102</f>
        <v>#N/A</v>
      </c>
      <c r="K102" t="e">
        <f>VLOOKUP($B102,'Rekentool Natuur en landschap'!$A$40:$I$73,9,0)*$D102</f>
        <v>#N/A</v>
      </c>
    </row>
    <row r="103" spans="1:11" x14ac:dyDescent="0.25">
      <c r="B103" s="6" t="s">
        <v>204</v>
      </c>
      <c r="C103" s="6" t="s">
        <v>217</v>
      </c>
      <c r="D103" s="7">
        <v>2.9043000000000001</v>
      </c>
      <c r="E103" s="6" t="s">
        <v>212</v>
      </c>
      <c r="F103" s="6" t="s">
        <v>194</v>
      </c>
      <c r="G103" s="6" t="s">
        <v>213</v>
      </c>
      <c r="H103" s="6" t="s">
        <v>196</v>
      </c>
      <c r="J103"/>
    </row>
    <row r="104" spans="1:11" x14ac:dyDescent="0.25">
      <c r="B104" s="6" t="s">
        <v>204</v>
      </c>
      <c r="C104" s="6" t="s">
        <v>217</v>
      </c>
      <c r="D104" s="7">
        <v>1.5055000000000001</v>
      </c>
      <c r="E104" s="6" t="s">
        <v>212</v>
      </c>
      <c r="F104" s="6" t="s">
        <v>194</v>
      </c>
      <c r="G104" s="6" t="s">
        <v>213</v>
      </c>
      <c r="H104" s="6" t="s">
        <v>196</v>
      </c>
      <c r="J104"/>
    </row>
    <row r="105" spans="1:11" x14ac:dyDescent="0.25">
      <c r="B105" s="6" t="s">
        <v>204</v>
      </c>
      <c r="C105" s="6" t="s">
        <v>217</v>
      </c>
      <c r="D105" s="7">
        <v>5.1022999999999996</v>
      </c>
      <c r="E105" s="6" t="s">
        <v>212</v>
      </c>
      <c r="F105" s="6" t="s">
        <v>194</v>
      </c>
      <c r="G105" s="6" t="s">
        <v>213</v>
      </c>
      <c r="H105" s="6" t="s">
        <v>196</v>
      </c>
      <c r="J105"/>
    </row>
    <row r="106" spans="1:11" x14ac:dyDescent="0.25">
      <c r="B106" s="6" t="s">
        <v>204</v>
      </c>
      <c r="C106" s="6" t="s">
        <v>217</v>
      </c>
      <c r="D106" s="7">
        <v>0.78400000000000003</v>
      </c>
      <c r="E106" s="6" t="s">
        <v>212</v>
      </c>
      <c r="F106" s="6" t="s">
        <v>194</v>
      </c>
      <c r="G106" s="6" t="s">
        <v>213</v>
      </c>
      <c r="H106" s="6" t="s">
        <v>196</v>
      </c>
      <c r="J106"/>
    </row>
    <row r="107" spans="1:11" x14ac:dyDescent="0.25">
      <c r="A107" t="s">
        <v>191</v>
      </c>
      <c r="B107" s="6" t="s">
        <v>68</v>
      </c>
      <c r="C107" s="6" t="s">
        <v>67</v>
      </c>
      <c r="D107" s="7">
        <v>1.1513</v>
      </c>
      <c r="E107" s="6" t="s">
        <v>212</v>
      </c>
      <c r="F107" s="6" t="s">
        <v>194</v>
      </c>
      <c r="G107" s="6" t="s">
        <v>213</v>
      </c>
      <c r="H107" s="6" t="s">
        <v>196</v>
      </c>
      <c r="I107" t="e">
        <f>VLOOKUP($B107,'Rekentool Natuur en landschap'!$A$40:$I$73,7,0)*$D107</f>
        <v>#N/A</v>
      </c>
      <c r="J107" t="e">
        <f>VLOOKUP($B107,'Rekentool Natuur en landschap'!$A$40:$I$73,8,0)*$D107</f>
        <v>#N/A</v>
      </c>
      <c r="K107" t="e">
        <f>VLOOKUP($B107,'Rekentool Natuur en landschap'!$A$40:$I$73,9,0)*$D107</f>
        <v>#N/A</v>
      </c>
    </row>
    <row r="108" spans="1:11" x14ac:dyDescent="0.25">
      <c r="A108" t="s">
        <v>191</v>
      </c>
      <c r="B108" s="6" t="s">
        <v>68</v>
      </c>
      <c r="C108" s="6" t="s">
        <v>67</v>
      </c>
      <c r="D108" s="7">
        <v>0.42559999999999998</v>
      </c>
      <c r="E108" s="6" t="s">
        <v>212</v>
      </c>
      <c r="F108" s="6" t="s">
        <v>194</v>
      </c>
      <c r="G108" s="6" t="s">
        <v>213</v>
      </c>
      <c r="H108" s="6" t="s">
        <v>196</v>
      </c>
      <c r="I108" t="e">
        <f>VLOOKUP($B108,'Rekentool Natuur en landschap'!$A$40:$I$73,7,0)*$D108</f>
        <v>#N/A</v>
      </c>
      <c r="J108" t="e">
        <f>VLOOKUP($B108,'Rekentool Natuur en landschap'!$A$40:$I$73,8,0)*$D108</f>
        <v>#N/A</v>
      </c>
      <c r="K108" t="e">
        <f>VLOOKUP($B108,'Rekentool Natuur en landschap'!$A$40:$I$73,9,0)*$D108</f>
        <v>#N/A</v>
      </c>
    </row>
    <row r="109" spans="1:11" x14ac:dyDescent="0.25">
      <c r="A109" t="s">
        <v>191</v>
      </c>
      <c r="B109" s="6" t="s">
        <v>68</v>
      </c>
      <c r="C109" s="6" t="s">
        <v>67</v>
      </c>
      <c r="D109" s="7">
        <v>0.38779999999999998</v>
      </c>
      <c r="E109" s="6" t="s">
        <v>212</v>
      </c>
      <c r="F109" s="6" t="s">
        <v>194</v>
      </c>
      <c r="G109" s="6" t="s">
        <v>213</v>
      </c>
      <c r="H109" s="6" t="s">
        <v>196</v>
      </c>
      <c r="I109" t="e">
        <f>VLOOKUP($B109,'Rekentool Natuur en landschap'!$A$40:$I$73,7,0)*$D109</f>
        <v>#N/A</v>
      </c>
      <c r="J109" t="e">
        <f>VLOOKUP($B109,'Rekentool Natuur en landschap'!$A$40:$I$73,8,0)*$D109</f>
        <v>#N/A</v>
      </c>
      <c r="K109" t="e">
        <f>VLOOKUP($B109,'Rekentool Natuur en landschap'!$A$40:$I$73,9,0)*$D109</f>
        <v>#N/A</v>
      </c>
    </row>
    <row r="110" spans="1:11" x14ac:dyDescent="0.25">
      <c r="A110" t="s">
        <v>191</v>
      </c>
      <c r="B110" s="6" t="s">
        <v>68</v>
      </c>
      <c r="C110" s="6" t="s">
        <v>67</v>
      </c>
      <c r="D110" s="7">
        <v>2.1501000000000001</v>
      </c>
      <c r="E110" s="6" t="s">
        <v>212</v>
      </c>
      <c r="F110" s="6" t="s">
        <v>194</v>
      </c>
      <c r="G110" s="6" t="s">
        <v>213</v>
      </c>
      <c r="H110" s="6" t="s">
        <v>196</v>
      </c>
      <c r="I110" t="e">
        <f>VLOOKUP($B110,'Rekentool Natuur en landschap'!$A$40:$I$73,7,0)*$D110</f>
        <v>#N/A</v>
      </c>
      <c r="J110" t="e">
        <f>VLOOKUP($B110,'Rekentool Natuur en landschap'!$A$40:$I$73,8,0)*$D110</f>
        <v>#N/A</v>
      </c>
      <c r="K110" t="e">
        <f>VLOOKUP($B110,'Rekentool Natuur en landschap'!$A$40:$I$73,9,0)*$D110</f>
        <v>#N/A</v>
      </c>
    </row>
    <row r="111" spans="1:11" x14ac:dyDescent="0.25">
      <c r="A111" t="s">
        <v>191</v>
      </c>
      <c r="B111" s="6" t="s">
        <v>68</v>
      </c>
      <c r="C111" s="6" t="s">
        <v>67</v>
      </c>
      <c r="D111" s="7">
        <v>0.97860000000000003</v>
      </c>
      <c r="E111" s="6" t="s">
        <v>212</v>
      </c>
      <c r="F111" s="6" t="s">
        <v>194</v>
      </c>
      <c r="G111" s="6" t="s">
        <v>213</v>
      </c>
      <c r="H111" s="6" t="s">
        <v>196</v>
      </c>
      <c r="I111" t="e">
        <f>VLOOKUP($B111,'Rekentool Natuur en landschap'!$A$40:$I$73,7,0)*$D111</f>
        <v>#N/A</v>
      </c>
      <c r="J111" t="e">
        <f>VLOOKUP($B111,'Rekentool Natuur en landschap'!$A$40:$I$73,8,0)*$D111</f>
        <v>#N/A</v>
      </c>
      <c r="K111" t="e">
        <f>VLOOKUP($B111,'Rekentool Natuur en landschap'!$A$40:$I$73,9,0)*$D111</f>
        <v>#N/A</v>
      </c>
    </row>
    <row r="112" spans="1:11" x14ac:dyDescent="0.25">
      <c r="A112" t="s">
        <v>191</v>
      </c>
      <c r="B112" s="6" t="s">
        <v>68</v>
      </c>
      <c r="C112" s="6" t="s">
        <v>67</v>
      </c>
      <c r="D112" s="7">
        <v>0.46960000000000002</v>
      </c>
      <c r="E112" s="6" t="s">
        <v>212</v>
      </c>
      <c r="F112" s="6" t="s">
        <v>194</v>
      </c>
      <c r="G112" s="6" t="s">
        <v>213</v>
      </c>
      <c r="H112" s="6" t="s">
        <v>196</v>
      </c>
      <c r="I112" t="e">
        <f>VLOOKUP($B112,'Rekentool Natuur en landschap'!$A$40:$I$73,7,0)*$D112</f>
        <v>#N/A</v>
      </c>
      <c r="J112" t="e">
        <f>VLOOKUP($B112,'Rekentool Natuur en landschap'!$A$40:$I$73,8,0)*$D112</f>
        <v>#N/A</v>
      </c>
      <c r="K112" t="e">
        <f>VLOOKUP($B112,'Rekentool Natuur en landschap'!$A$40:$I$73,9,0)*$D112</f>
        <v>#N/A</v>
      </c>
    </row>
    <row r="113" spans="1:11" x14ac:dyDescent="0.25">
      <c r="A113" t="s">
        <v>191</v>
      </c>
      <c r="B113" s="6" t="s">
        <v>68</v>
      </c>
      <c r="C113" s="6" t="s">
        <v>67</v>
      </c>
      <c r="D113" s="7">
        <v>2.028</v>
      </c>
      <c r="E113" s="6" t="s">
        <v>212</v>
      </c>
      <c r="F113" s="6" t="s">
        <v>194</v>
      </c>
      <c r="G113" s="6" t="s">
        <v>213</v>
      </c>
      <c r="H113" s="6" t="s">
        <v>196</v>
      </c>
      <c r="I113" t="e">
        <f>VLOOKUP($B113,'Rekentool Natuur en landschap'!$A$40:$I$73,7,0)*$D113</f>
        <v>#N/A</v>
      </c>
      <c r="J113" t="e">
        <f>VLOOKUP($B113,'Rekentool Natuur en landschap'!$A$40:$I$73,8,0)*$D113</f>
        <v>#N/A</v>
      </c>
      <c r="K113" t="e">
        <f>VLOOKUP($B113,'Rekentool Natuur en landschap'!$A$40:$I$73,9,0)*$D113</f>
        <v>#N/A</v>
      </c>
    </row>
    <row r="114" spans="1:11" x14ac:dyDescent="0.25">
      <c r="B114" s="6" t="s">
        <v>204</v>
      </c>
      <c r="C114" s="6" t="s">
        <v>217</v>
      </c>
      <c r="D114" s="7">
        <v>0.87319999999999998</v>
      </c>
      <c r="E114" s="6" t="s">
        <v>212</v>
      </c>
      <c r="F114" s="6" t="s">
        <v>194</v>
      </c>
      <c r="G114" s="6" t="s">
        <v>213</v>
      </c>
      <c r="H114" s="6" t="s">
        <v>196</v>
      </c>
      <c r="J114"/>
    </row>
    <row r="115" spans="1:11" x14ac:dyDescent="0.25">
      <c r="B115" s="6" t="s">
        <v>204</v>
      </c>
      <c r="C115" s="6" t="s">
        <v>217</v>
      </c>
      <c r="D115" s="7">
        <v>1.0629999999999999</v>
      </c>
      <c r="E115" s="6" t="s">
        <v>212</v>
      </c>
      <c r="F115" s="6" t="s">
        <v>194</v>
      </c>
      <c r="G115" s="6" t="s">
        <v>213</v>
      </c>
      <c r="H115" s="6" t="s">
        <v>196</v>
      </c>
      <c r="J115"/>
    </row>
    <row r="116" spans="1:11" x14ac:dyDescent="0.25">
      <c r="A116" t="s">
        <v>201</v>
      </c>
      <c r="B116" s="6" t="s">
        <v>148</v>
      </c>
      <c r="C116" s="6" t="s">
        <v>208</v>
      </c>
      <c r="D116" s="7">
        <v>2.7400000000000001E-2</v>
      </c>
      <c r="E116" s="6" t="s">
        <v>212</v>
      </c>
      <c r="F116" s="6"/>
      <c r="G116" s="6" t="s">
        <v>213</v>
      </c>
      <c r="H116" s="6" t="s">
        <v>196</v>
      </c>
      <c r="I116" t="e">
        <f>VLOOKUP($B116,'Rekentool Natuur en landschap'!$A$40:$I$73,7,0)*$D116</f>
        <v>#N/A</v>
      </c>
      <c r="J116" t="e">
        <f>VLOOKUP($B116,'Rekentool Natuur en landschap'!$A$40:$I$73,8,0)*$D116</f>
        <v>#N/A</v>
      </c>
      <c r="K116" t="e">
        <f>VLOOKUP($B116,'Rekentool Natuur en landschap'!$A$40:$I$73,9,0)*$D116</f>
        <v>#N/A</v>
      </c>
    </row>
    <row r="117" spans="1:11" x14ac:dyDescent="0.25">
      <c r="A117" t="s">
        <v>201</v>
      </c>
      <c r="B117" s="6" t="s">
        <v>162</v>
      </c>
      <c r="C117" s="6" t="s">
        <v>161</v>
      </c>
      <c r="D117" s="7">
        <v>7.2099999999999997E-2</v>
      </c>
      <c r="E117" s="6" t="s">
        <v>212</v>
      </c>
      <c r="F117" s="6"/>
      <c r="G117" s="6" t="s">
        <v>213</v>
      </c>
      <c r="H117" s="6" t="s">
        <v>196</v>
      </c>
      <c r="I117" t="e">
        <f>VLOOKUP($B117,'Rekentool Natuur en landschap'!$A$40:$I$73,7,0)*$D117</f>
        <v>#N/A</v>
      </c>
      <c r="J117" t="e">
        <f>VLOOKUP($B117,'Rekentool Natuur en landschap'!$A$40:$I$73,8,0)*$D117</f>
        <v>#N/A</v>
      </c>
      <c r="K117" t="e">
        <f>VLOOKUP($B117,'Rekentool Natuur en landschap'!$A$40:$I$73,9,0)*$D117</f>
        <v>#N/A</v>
      </c>
    </row>
    <row r="118" spans="1:11" x14ac:dyDescent="0.25">
      <c r="A118" t="s">
        <v>201</v>
      </c>
      <c r="B118" s="6" t="s">
        <v>156</v>
      </c>
      <c r="C118" s="6" t="s">
        <v>155</v>
      </c>
      <c r="D118" s="7">
        <v>5.4000000000000003E-3</v>
      </c>
      <c r="E118" s="6" t="s">
        <v>212</v>
      </c>
      <c r="F118" s="6"/>
      <c r="G118" s="6" t="s">
        <v>213</v>
      </c>
      <c r="H118" s="6" t="s">
        <v>196</v>
      </c>
      <c r="I118" t="e">
        <f>VLOOKUP($B118,'Rekentool Natuur en landschap'!$A$40:$I$73,7,0)*$D118</f>
        <v>#N/A</v>
      </c>
      <c r="J118" t="e">
        <f>VLOOKUP($B118,'Rekentool Natuur en landschap'!$A$40:$I$73,8,0)*$D118</f>
        <v>#N/A</v>
      </c>
      <c r="K118" t="e">
        <f>VLOOKUP($B118,'Rekentool Natuur en landschap'!$A$40:$I$73,9,0)*$D118</f>
        <v>#N/A</v>
      </c>
    </row>
    <row r="119" spans="1:11" x14ac:dyDescent="0.25">
      <c r="A119" t="s">
        <v>201</v>
      </c>
      <c r="B119" s="6" t="s">
        <v>156</v>
      </c>
      <c r="C119" s="6" t="s">
        <v>155</v>
      </c>
      <c r="D119" s="7">
        <v>4.7000000000000002E-3</v>
      </c>
      <c r="E119" s="6" t="s">
        <v>212</v>
      </c>
      <c r="F119" s="6"/>
      <c r="G119" s="6" t="s">
        <v>213</v>
      </c>
      <c r="H119" s="6" t="s">
        <v>196</v>
      </c>
      <c r="I119" t="e">
        <f>VLOOKUP($B119,'Rekentool Natuur en landschap'!$A$40:$I$73,7,0)*$D119</f>
        <v>#N/A</v>
      </c>
      <c r="J119" t="e">
        <f>VLOOKUP($B119,'Rekentool Natuur en landschap'!$A$40:$I$73,8,0)*$D119</f>
        <v>#N/A</v>
      </c>
      <c r="K119" t="e">
        <f>VLOOKUP($B119,'Rekentool Natuur en landschap'!$A$40:$I$73,9,0)*$D119</f>
        <v>#N/A</v>
      </c>
    </row>
    <row r="120" spans="1:11" x14ac:dyDescent="0.25">
      <c r="A120" t="s">
        <v>201</v>
      </c>
      <c r="B120" s="6" t="s">
        <v>148</v>
      </c>
      <c r="C120" s="6" t="s">
        <v>208</v>
      </c>
      <c r="D120" s="7">
        <v>1.3100000000000001E-2</v>
      </c>
      <c r="E120" s="6" t="s">
        <v>212</v>
      </c>
      <c r="F120" s="6"/>
      <c r="G120" s="6" t="s">
        <v>213</v>
      </c>
      <c r="H120" s="6" t="s">
        <v>196</v>
      </c>
      <c r="I120" t="e">
        <f>VLOOKUP($B120,'Rekentool Natuur en landschap'!$A$40:$I$73,7,0)*$D120</f>
        <v>#N/A</v>
      </c>
      <c r="J120" t="e">
        <f>VLOOKUP($B120,'Rekentool Natuur en landschap'!$A$40:$I$73,8,0)*$D120</f>
        <v>#N/A</v>
      </c>
      <c r="K120" t="e">
        <f>VLOOKUP($B120,'Rekentool Natuur en landschap'!$A$40:$I$73,9,0)*$D120</f>
        <v>#N/A</v>
      </c>
    </row>
    <row r="121" spans="1:11" x14ac:dyDescent="0.25">
      <c r="A121" t="s">
        <v>191</v>
      </c>
      <c r="B121" s="6" t="s">
        <v>170</v>
      </c>
      <c r="C121" s="6" t="s">
        <v>200</v>
      </c>
      <c r="D121" s="6">
        <v>1</v>
      </c>
      <c r="E121" s="6" t="s">
        <v>212</v>
      </c>
      <c r="F121" s="6"/>
      <c r="G121" s="6" t="s">
        <v>213</v>
      </c>
      <c r="H121" s="6" t="s">
        <v>196</v>
      </c>
      <c r="I121" t="e">
        <f>VLOOKUP($B121,'Rekentool Natuur en landschap'!$A$40:$I$73,7,0)*$D121</f>
        <v>#N/A</v>
      </c>
      <c r="J121" t="e">
        <f>VLOOKUP($B121,'Rekentool Natuur en landschap'!$A$40:$I$73,8,0)*$D121</f>
        <v>#N/A</v>
      </c>
      <c r="K121" t="e">
        <f>VLOOKUP($B121,'Rekentool Natuur en landschap'!$A$40:$I$73,9,0)*$D121</f>
        <v>#N/A</v>
      </c>
    </row>
    <row r="122" spans="1:11" x14ac:dyDescent="0.25">
      <c r="A122" t="s">
        <v>191</v>
      </c>
      <c r="B122" s="6" t="s">
        <v>170</v>
      </c>
      <c r="C122" s="6" t="s">
        <v>200</v>
      </c>
      <c r="D122" s="6">
        <v>1</v>
      </c>
      <c r="E122" s="6" t="s">
        <v>212</v>
      </c>
      <c r="F122" s="6"/>
      <c r="G122" s="6" t="s">
        <v>213</v>
      </c>
      <c r="H122" s="6" t="s">
        <v>196</v>
      </c>
      <c r="I122" t="e">
        <f>VLOOKUP($B122,'Rekentool Natuur en landschap'!$A$40:$I$73,7,0)*$D122</f>
        <v>#N/A</v>
      </c>
      <c r="J122" t="e">
        <f>VLOOKUP($B122,'Rekentool Natuur en landschap'!$A$40:$I$73,8,0)*$D122</f>
        <v>#N/A</v>
      </c>
      <c r="K122" t="e">
        <f>VLOOKUP($B122,'Rekentool Natuur en landschap'!$A$40:$I$73,9,0)*$D122</f>
        <v>#N/A</v>
      </c>
    </row>
    <row r="123" spans="1:11" x14ac:dyDescent="0.25">
      <c r="A123" t="s">
        <v>201</v>
      </c>
      <c r="B123" s="6" t="s">
        <v>162</v>
      </c>
      <c r="C123" s="6" t="s">
        <v>161</v>
      </c>
      <c r="D123" s="7">
        <v>0.20100000000000001</v>
      </c>
      <c r="E123" s="6" t="s">
        <v>212</v>
      </c>
      <c r="F123" s="6"/>
      <c r="G123" s="6" t="s">
        <v>213</v>
      </c>
      <c r="H123" s="6" t="s">
        <v>196</v>
      </c>
      <c r="I123" t="e">
        <f>VLOOKUP($B123,'Rekentool Natuur en landschap'!$A$40:$I$73,7,0)*$D123</f>
        <v>#N/A</v>
      </c>
      <c r="J123" t="e">
        <f>VLOOKUP($B123,'Rekentool Natuur en landschap'!$A$40:$I$73,8,0)*$D123</f>
        <v>#N/A</v>
      </c>
      <c r="K123" t="e">
        <f>VLOOKUP($B123,'Rekentool Natuur en landschap'!$A$40:$I$73,9,0)*$D123</f>
        <v>#N/A</v>
      </c>
    </row>
    <row r="124" spans="1:11" x14ac:dyDescent="0.25">
      <c r="B124" s="6" t="s">
        <v>54</v>
      </c>
      <c r="C124" s="6" t="s">
        <v>218</v>
      </c>
      <c r="D124" s="7">
        <v>0.52869595711101203</v>
      </c>
      <c r="E124" s="6" t="s">
        <v>212</v>
      </c>
      <c r="F124" s="6"/>
      <c r="G124" s="6" t="s">
        <v>213</v>
      </c>
      <c r="H124" s="6" t="s">
        <v>196</v>
      </c>
      <c r="I124" t="e">
        <f>VLOOKUP($B124,'Rekentool Natuur en landschap'!$A$40:$I$73,7,0)*$D124</f>
        <v>#N/A</v>
      </c>
      <c r="J124" t="e">
        <f>VLOOKUP($B124,'Rekentool Natuur en landschap'!$A$40:$I$73,8,0)*$D124</f>
        <v>#N/A</v>
      </c>
      <c r="K124" t="e">
        <f>VLOOKUP($B124,'Rekentool Natuur en landschap'!$A$40:$I$73,9,0)*$D124</f>
        <v>#N/A</v>
      </c>
    </row>
    <row r="125" spans="1:11" x14ac:dyDescent="0.25">
      <c r="B125" s="6" t="s">
        <v>54</v>
      </c>
      <c r="C125" s="6" t="s">
        <v>219</v>
      </c>
      <c r="D125" s="7">
        <v>0.461810644123894</v>
      </c>
      <c r="E125" s="6" t="s">
        <v>212</v>
      </c>
      <c r="F125" s="6"/>
      <c r="G125" s="6" t="s">
        <v>213</v>
      </c>
      <c r="H125" s="6" t="s">
        <v>196</v>
      </c>
      <c r="I125" t="e">
        <f>VLOOKUP($B125,'Rekentool Natuur en landschap'!$A$40:$I$73,7,0)*$D125</f>
        <v>#N/A</v>
      </c>
      <c r="J125" t="e">
        <f>VLOOKUP($B125,'Rekentool Natuur en landschap'!$A$40:$I$73,8,0)*$D125</f>
        <v>#N/A</v>
      </c>
      <c r="K125" t="e">
        <f>VLOOKUP($B125,'Rekentool Natuur en landschap'!$A$40:$I$73,9,0)*$D125</f>
        <v>#N/A</v>
      </c>
    </row>
    <row r="126" spans="1:11" x14ac:dyDescent="0.25">
      <c r="B126" s="6" t="s">
        <v>54</v>
      </c>
      <c r="C126" s="6" t="s">
        <v>220</v>
      </c>
      <c r="D126" s="7">
        <v>2.0196845737407498</v>
      </c>
      <c r="E126" s="6" t="s">
        <v>221</v>
      </c>
      <c r="F126" s="6"/>
      <c r="G126" s="6" t="s">
        <v>195</v>
      </c>
      <c r="H126" s="6" t="s">
        <v>210</v>
      </c>
      <c r="I126" t="e">
        <f>VLOOKUP($B126,'Rekentool Natuur en landschap'!$A$40:$I$73,7,0)*$D126</f>
        <v>#N/A</v>
      </c>
      <c r="J126" t="e">
        <f>VLOOKUP($B126,'Rekentool Natuur en landschap'!$A$40:$I$73,8,0)*$D126</f>
        <v>#N/A</v>
      </c>
      <c r="K126" t="e">
        <f>VLOOKUP($B126,'Rekentool Natuur en landschap'!$A$40:$I$73,9,0)*$D126</f>
        <v>#N/A</v>
      </c>
    </row>
    <row r="127" spans="1:11" x14ac:dyDescent="0.25">
      <c r="B127" s="6" t="s">
        <v>54</v>
      </c>
      <c r="C127" s="6" t="s">
        <v>222</v>
      </c>
      <c r="D127" s="7">
        <v>2.4497</v>
      </c>
      <c r="E127" s="6" t="s">
        <v>221</v>
      </c>
      <c r="F127" s="6"/>
      <c r="G127" s="6" t="s">
        <v>195</v>
      </c>
      <c r="H127" s="6" t="s">
        <v>210</v>
      </c>
      <c r="I127" t="e">
        <f>VLOOKUP($B127,'Rekentool Natuur en landschap'!$A$40:$I$73,7,0)*$D127</f>
        <v>#N/A</v>
      </c>
      <c r="J127" t="e">
        <f>VLOOKUP($B127,'Rekentool Natuur en landschap'!$A$40:$I$73,8,0)*$D127</f>
        <v>#N/A</v>
      </c>
      <c r="K127" t="e">
        <f>VLOOKUP($B127,'Rekentool Natuur en landschap'!$A$40:$I$73,9,0)*$D127</f>
        <v>#N/A</v>
      </c>
    </row>
    <row r="128" spans="1:11" x14ac:dyDescent="0.25">
      <c r="B128" s="6" t="s">
        <v>54</v>
      </c>
      <c r="C128" s="6" t="s">
        <v>222</v>
      </c>
      <c r="D128" s="7">
        <v>3.7475999999999998</v>
      </c>
      <c r="E128" s="6" t="s">
        <v>221</v>
      </c>
      <c r="F128" s="6"/>
      <c r="G128" s="6" t="s">
        <v>195</v>
      </c>
      <c r="H128" s="6" t="s">
        <v>210</v>
      </c>
      <c r="I128" t="e">
        <f>VLOOKUP($B128,'Rekentool Natuur en landschap'!$A$40:$I$73,7,0)*$D128</f>
        <v>#N/A</v>
      </c>
      <c r="J128" t="e">
        <f>VLOOKUP($B128,'Rekentool Natuur en landschap'!$A$40:$I$73,8,0)*$D128</f>
        <v>#N/A</v>
      </c>
      <c r="K128" t="e">
        <f>VLOOKUP($B128,'Rekentool Natuur en landschap'!$A$40:$I$73,9,0)*$D128</f>
        <v>#N/A</v>
      </c>
    </row>
    <row r="129" spans="1:11" x14ac:dyDescent="0.25">
      <c r="B129" s="6" t="s">
        <v>58</v>
      </c>
      <c r="C129" s="6" t="s">
        <v>192</v>
      </c>
      <c r="D129" s="7">
        <v>8.0299999999999996E-2</v>
      </c>
      <c r="E129" s="6" t="s">
        <v>221</v>
      </c>
      <c r="F129" s="6"/>
      <c r="G129" s="6" t="s">
        <v>195</v>
      </c>
      <c r="H129" s="6" t="s">
        <v>210</v>
      </c>
      <c r="I129" t="e">
        <f>VLOOKUP($B129,'Rekentool Natuur en landschap'!$A$40:$I$73,7,0)*$D129</f>
        <v>#N/A</v>
      </c>
      <c r="J129" t="e">
        <f>VLOOKUP($B129,'Rekentool Natuur en landschap'!$A$40:$I$73,8,0)*$D129</f>
        <v>#N/A</v>
      </c>
      <c r="K129" t="e">
        <f>VLOOKUP($B129,'Rekentool Natuur en landschap'!$A$40:$I$73,9,0)*$D129</f>
        <v>#N/A</v>
      </c>
    </row>
    <row r="130" spans="1:11" x14ac:dyDescent="0.25">
      <c r="B130" s="6" t="s">
        <v>204</v>
      </c>
      <c r="C130" s="6" t="s">
        <v>217</v>
      </c>
      <c r="D130" s="7">
        <v>2.1301000000000001</v>
      </c>
      <c r="E130" s="6" t="s">
        <v>221</v>
      </c>
      <c r="F130" s="6"/>
      <c r="G130" s="6" t="s">
        <v>195</v>
      </c>
      <c r="H130" s="6" t="s">
        <v>210</v>
      </c>
      <c r="J130"/>
    </row>
    <row r="131" spans="1:11" x14ac:dyDescent="0.25">
      <c r="B131" s="6" t="s">
        <v>204</v>
      </c>
      <c r="C131" s="6" t="s">
        <v>217</v>
      </c>
      <c r="D131" s="7">
        <v>1.1579999999999999</v>
      </c>
      <c r="E131" s="6" t="s">
        <v>221</v>
      </c>
      <c r="F131" s="6"/>
      <c r="G131" s="6" t="s">
        <v>195</v>
      </c>
      <c r="H131" s="6" t="s">
        <v>210</v>
      </c>
      <c r="J131"/>
    </row>
    <row r="132" spans="1:11" x14ac:dyDescent="0.25">
      <c r="B132" s="6" t="s">
        <v>204</v>
      </c>
      <c r="C132" s="6" t="s">
        <v>217</v>
      </c>
      <c r="D132" s="7">
        <v>9.2799999999999994E-2</v>
      </c>
      <c r="E132" s="6" t="s">
        <v>221</v>
      </c>
      <c r="F132" s="6"/>
      <c r="G132" s="6" t="s">
        <v>195</v>
      </c>
      <c r="H132" s="6" t="s">
        <v>210</v>
      </c>
      <c r="J132"/>
    </row>
    <row r="133" spans="1:11" x14ac:dyDescent="0.25">
      <c r="B133" s="6" t="s">
        <v>204</v>
      </c>
      <c r="C133" s="6" t="s">
        <v>217</v>
      </c>
      <c r="D133" s="7">
        <v>7.5899999999999995E-2</v>
      </c>
      <c r="E133" s="6" t="s">
        <v>221</v>
      </c>
      <c r="F133" s="6"/>
      <c r="G133" s="6" t="s">
        <v>195</v>
      </c>
      <c r="H133" s="6" t="s">
        <v>210</v>
      </c>
      <c r="J133"/>
    </row>
    <row r="134" spans="1:11" x14ac:dyDescent="0.25">
      <c r="B134" s="6" t="s">
        <v>204</v>
      </c>
      <c r="C134" s="6" t="s">
        <v>217</v>
      </c>
      <c r="D134" s="7">
        <v>0.64590000000000003</v>
      </c>
      <c r="E134" s="6" t="s">
        <v>221</v>
      </c>
      <c r="F134" s="6"/>
      <c r="G134" s="6" t="s">
        <v>195</v>
      </c>
      <c r="H134" s="6" t="s">
        <v>210</v>
      </c>
      <c r="J134"/>
    </row>
    <row r="135" spans="1:11" x14ac:dyDescent="0.25">
      <c r="A135" t="s">
        <v>199</v>
      </c>
      <c r="B135" s="6" t="s">
        <v>170</v>
      </c>
      <c r="C135" s="6" t="s">
        <v>200</v>
      </c>
      <c r="D135" s="6">
        <v>1</v>
      </c>
      <c r="E135" s="6" t="s">
        <v>221</v>
      </c>
      <c r="F135" s="6"/>
      <c r="G135" s="6" t="s">
        <v>195</v>
      </c>
      <c r="H135" s="6" t="s">
        <v>210</v>
      </c>
      <c r="I135" t="e">
        <f>VLOOKUP($B135,'Rekentool Natuur en landschap'!$A$40:$I$73,7,0)*$D135</f>
        <v>#N/A</v>
      </c>
      <c r="J135" t="e">
        <f>VLOOKUP($B135,'Rekentool Natuur en landschap'!$A$40:$I$73,8,0)*$D135</f>
        <v>#N/A</v>
      </c>
      <c r="K135" t="e">
        <f>VLOOKUP($B135,'Rekentool Natuur en landschap'!$A$40:$I$73,9,0)*$D135</f>
        <v>#N/A</v>
      </c>
    </row>
    <row r="136" spans="1:11" x14ac:dyDescent="0.25">
      <c r="A136" t="s">
        <v>199</v>
      </c>
      <c r="B136" s="6" t="s">
        <v>170</v>
      </c>
      <c r="C136" s="6" t="s">
        <v>200</v>
      </c>
      <c r="D136" s="6">
        <v>1</v>
      </c>
      <c r="E136" s="6" t="s">
        <v>221</v>
      </c>
      <c r="F136" s="6"/>
      <c r="G136" s="6" t="s">
        <v>195</v>
      </c>
      <c r="H136" s="6" t="s">
        <v>210</v>
      </c>
      <c r="I136" t="e">
        <f>VLOOKUP($B136,'Rekentool Natuur en landschap'!$A$40:$I$73,7,0)*$D136</f>
        <v>#N/A</v>
      </c>
      <c r="J136" t="e">
        <f>VLOOKUP($B136,'Rekentool Natuur en landschap'!$A$40:$I$73,8,0)*$D136</f>
        <v>#N/A</v>
      </c>
      <c r="K136" t="e">
        <f>VLOOKUP($B136,'Rekentool Natuur en landschap'!$A$40:$I$73,9,0)*$D136</f>
        <v>#N/A</v>
      </c>
    </row>
    <row r="137" spans="1:11" x14ac:dyDescent="0.25">
      <c r="A137" t="s">
        <v>199</v>
      </c>
      <c r="B137" s="6" t="s">
        <v>170</v>
      </c>
      <c r="C137" s="6" t="s">
        <v>200</v>
      </c>
      <c r="D137" s="6">
        <v>1</v>
      </c>
      <c r="E137" s="6" t="s">
        <v>221</v>
      </c>
      <c r="F137" s="6"/>
      <c r="G137" s="6" t="s">
        <v>195</v>
      </c>
      <c r="H137" s="6" t="s">
        <v>210</v>
      </c>
      <c r="I137" t="e">
        <f>VLOOKUP($B137,'Rekentool Natuur en landschap'!$A$40:$I$73,7,0)*$D137</f>
        <v>#N/A</v>
      </c>
      <c r="J137" t="e">
        <f>VLOOKUP($B137,'Rekentool Natuur en landschap'!$A$40:$I$73,8,0)*$D137</f>
        <v>#N/A</v>
      </c>
      <c r="K137" t="e">
        <f>VLOOKUP($B137,'Rekentool Natuur en landschap'!$A$40:$I$73,9,0)*$D137</f>
        <v>#N/A</v>
      </c>
    </row>
    <row r="138" spans="1:11" x14ac:dyDescent="0.25">
      <c r="A138" t="s">
        <v>199</v>
      </c>
      <c r="B138" s="6" t="s">
        <v>170</v>
      </c>
      <c r="C138" s="6" t="s">
        <v>200</v>
      </c>
      <c r="D138" s="6">
        <v>1</v>
      </c>
      <c r="E138" s="6" t="s">
        <v>221</v>
      </c>
      <c r="F138" s="6"/>
      <c r="G138" s="6" t="s">
        <v>195</v>
      </c>
      <c r="H138" s="6" t="s">
        <v>210</v>
      </c>
      <c r="I138" t="e">
        <f>VLOOKUP($B138,'Rekentool Natuur en landschap'!$A$40:$I$73,7,0)*$D138</f>
        <v>#N/A</v>
      </c>
      <c r="J138" t="e">
        <f>VLOOKUP($B138,'Rekentool Natuur en landschap'!$A$40:$I$73,8,0)*$D138</f>
        <v>#N/A</v>
      </c>
      <c r="K138" t="e">
        <f>VLOOKUP($B138,'Rekentool Natuur en landschap'!$A$40:$I$73,9,0)*$D138</f>
        <v>#N/A</v>
      </c>
    </row>
    <row r="139" spans="1:11" x14ac:dyDescent="0.25">
      <c r="A139" t="s">
        <v>199</v>
      </c>
      <c r="B139" s="6" t="s">
        <v>170</v>
      </c>
      <c r="C139" s="6" t="s">
        <v>200</v>
      </c>
      <c r="D139" s="6">
        <v>1</v>
      </c>
      <c r="E139" s="6" t="s">
        <v>221</v>
      </c>
      <c r="F139" s="6"/>
      <c r="G139" s="6" t="s">
        <v>195</v>
      </c>
      <c r="H139" s="6" t="s">
        <v>210</v>
      </c>
      <c r="I139" t="e">
        <f>VLOOKUP($B139,'Rekentool Natuur en landschap'!$A$40:$I$73,7,0)*$D139</f>
        <v>#N/A</v>
      </c>
      <c r="J139" t="e">
        <f>VLOOKUP($B139,'Rekentool Natuur en landschap'!$A$40:$I$73,8,0)*$D139</f>
        <v>#N/A</v>
      </c>
      <c r="K139" t="e">
        <f>VLOOKUP($B139,'Rekentool Natuur en landschap'!$A$40:$I$73,9,0)*$D139</f>
        <v>#N/A</v>
      </c>
    </row>
    <row r="140" spans="1:11" x14ac:dyDescent="0.25">
      <c r="A140" t="s">
        <v>201</v>
      </c>
      <c r="B140" s="6" t="s">
        <v>162</v>
      </c>
      <c r="C140" s="6" t="s">
        <v>161</v>
      </c>
      <c r="D140" s="7">
        <v>0.11509999999999999</v>
      </c>
      <c r="E140" s="6" t="s">
        <v>221</v>
      </c>
      <c r="F140" s="6"/>
      <c r="G140" s="6" t="s">
        <v>195</v>
      </c>
      <c r="H140" s="6" t="s">
        <v>210</v>
      </c>
      <c r="I140" t="e">
        <f>VLOOKUP($B140,'Rekentool Natuur en landschap'!$A$40:$I$73,7,0)*$D140</f>
        <v>#N/A</v>
      </c>
      <c r="J140" t="e">
        <f>VLOOKUP($B140,'Rekentool Natuur en landschap'!$A$40:$I$73,8,0)*$D140</f>
        <v>#N/A</v>
      </c>
      <c r="K140" t="e">
        <f>VLOOKUP($B140,'Rekentool Natuur en landschap'!$A$40:$I$73,9,0)*$D140</f>
        <v>#N/A</v>
      </c>
    </row>
    <row r="141" spans="1:11" x14ac:dyDescent="0.25">
      <c r="A141" t="s">
        <v>201</v>
      </c>
      <c r="B141" s="6" t="s">
        <v>177</v>
      </c>
      <c r="C141" s="6" t="s">
        <v>223</v>
      </c>
      <c r="D141" s="6">
        <v>1</v>
      </c>
      <c r="E141" s="6" t="s">
        <v>221</v>
      </c>
      <c r="F141" s="6"/>
      <c r="G141" s="6" t="s">
        <v>195</v>
      </c>
      <c r="H141" s="6" t="s">
        <v>210</v>
      </c>
      <c r="I141" t="e">
        <f>VLOOKUP($B141,'Rekentool Natuur en landschap'!$A$40:$I$73,7,0)*$D141</f>
        <v>#N/A</v>
      </c>
      <c r="J141" t="e">
        <f>VLOOKUP($B141,'Rekentool Natuur en landschap'!$A$40:$I$73,8,0)*$D141</f>
        <v>#N/A</v>
      </c>
      <c r="K141" t="e">
        <f>VLOOKUP($B141,'Rekentool Natuur en landschap'!$A$40:$I$73,9,0)*$D141</f>
        <v>#N/A</v>
      </c>
    </row>
    <row r="142" spans="1:11" x14ac:dyDescent="0.25">
      <c r="A142" t="s">
        <v>206</v>
      </c>
      <c r="B142" s="6" t="s">
        <v>104</v>
      </c>
      <c r="C142" s="6" t="s">
        <v>216</v>
      </c>
      <c r="D142" s="7">
        <v>2.0196845737410598</v>
      </c>
      <c r="E142" s="6" t="s">
        <v>221</v>
      </c>
      <c r="F142" s="6"/>
      <c r="G142" s="6" t="s">
        <v>195</v>
      </c>
      <c r="H142" s="6" t="s">
        <v>210</v>
      </c>
      <c r="I142" t="e">
        <f>VLOOKUP($B142,'Rekentool Natuur en landschap'!$A$40:$I$73,7,0)*$D142</f>
        <v>#N/A</v>
      </c>
      <c r="J142" t="e">
        <f>VLOOKUP($B142,'Rekentool Natuur en landschap'!$A$40:$I$73,8,0)*$D142</f>
        <v>#N/A</v>
      </c>
      <c r="K142" t="e">
        <f>VLOOKUP($B142,'Rekentool Natuur en landschap'!$A$40:$I$73,9,0)*$D142</f>
        <v>#N/A</v>
      </c>
    </row>
    <row r="143" spans="1:11" x14ac:dyDescent="0.25">
      <c r="B143" s="6" t="s">
        <v>62</v>
      </c>
      <c r="C143" s="6" t="s">
        <v>198</v>
      </c>
      <c r="D143" s="7">
        <v>2.5737000000000001</v>
      </c>
      <c r="E143" s="6" t="s">
        <v>224</v>
      </c>
      <c r="F143" s="6"/>
      <c r="G143" s="6" t="s">
        <v>195</v>
      </c>
      <c r="H143" s="6" t="s">
        <v>203</v>
      </c>
      <c r="I143" t="e">
        <f>VLOOKUP($B143,'Rekentool Natuur en landschap'!$A$40:$I$73,7,0)*$D143</f>
        <v>#N/A</v>
      </c>
      <c r="J143" t="e">
        <f>VLOOKUP($B143,'Rekentool Natuur en landschap'!$A$40:$I$73,8,0)*$D143</f>
        <v>#N/A</v>
      </c>
      <c r="K143" t="e">
        <f>VLOOKUP($B143,'Rekentool Natuur en landschap'!$A$40:$I$73,9,0)*$D143</f>
        <v>#N/A</v>
      </c>
    </row>
    <row r="144" spans="1:11" x14ac:dyDescent="0.25">
      <c r="B144" s="6" t="s">
        <v>62</v>
      </c>
      <c r="C144" s="6" t="s">
        <v>198</v>
      </c>
      <c r="D144" s="7">
        <v>2.2993999999999999</v>
      </c>
      <c r="E144" s="6" t="s">
        <v>224</v>
      </c>
      <c r="F144" s="6"/>
      <c r="G144" s="6" t="s">
        <v>195</v>
      </c>
      <c r="H144" s="6" t="s">
        <v>203</v>
      </c>
      <c r="I144" t="e">
        <f>VLOOKUP($B144,'Rekentool Natuur en landschap'!$A$40:$I$73,7,0)*$D144</f>
        <v>#N/A</v>
      </c>
      <c r="J144" t="e">
        <f>VLOOKUP($B144,'Rekentool Natuur en landschap'!$A$40:$I$73,8,0)*$D144</f>
        <v>#N/A</v>
      </c>
      <c r="K144" t="e">
        <f>VLOOKUP($B144,'Rekentool Natuur en landschap'!$A$40:$I$73,9,0)*$D144</f>
        <v>#N/A</v>
      </c>
    </row>
    <row r="145" spans="1:11" x14ac:dyDescent="0.25">
      <c r="B145" s="6" t="s">
        <v>62</v>
      </c>
      <c r="C145" s="6" t="s">
        <v>198</v>
      </c>
      <c r="D145" s="7">
        <v>3.0076000000000001</v>
      </c>
      <c r="E145" s="6" t="s">
        <v>224</v>
      </c>
      <c r="F145" s="6"/>
      <c r="G145" s="6" t="s">
        <v>195</v>
      </c>
      <c r="H145" s="6" t="s">
        <v>203</v>
      </c>
      <c r="I145" t="e">
        <f>VLOOKUP($B145,'Rekentool Natuur en landschap'!$A$40:$I$73,7,0)*$D145</f>
        <v>#N/A</v>
      </c>
      <c r="J145" t="e">
        <f>VLOOKUP($B145,'Rekentool Natuur en landschap'!$A$40:$I$73,8,0)*$D145</f>
        <v>#N/A</v>
      </c>
      <c r="K145" t="e">
        <f>VLOOKUP($B145,'Rekentool Natuur en landschap'!$A$40:$I$73,9,0)*$D145</f>
        <v>#N/A</v>
      </c>
    </row>
    <row r="146" spans="1:11" x14ac:dyDescent="0.25">
      <c r="A146" t="s">
        <v>201</v>
      </c>
      <c r="B146" s="6" t="s">
        <v>148</v>
      </c>
      <c r="C146" s="6" t="s">
        <v>208</v>
      </c>
      <c r="D146" s="7">
        <v>5.0000000000000001E-3</v>
      </c>
      <c r="E146" s="6" t="s">
        <v>224</v>
      </c>
      <c r="F146" s="6"/>
      <c r="G146" s="6" t="s">
        <v>195</v>
      </c>
      <c r="H146" s="6" t="s">
        <v>203</v>
      </c>
      <c r="I146" t="e">
        <f>VLOOKUP($B146,'Rekentool Natuur en landschap'!$A$40:$I$73,7,0)*$D146</f>
        <v>#N/A</v>
      </c>
      <c r="J146" t="e">
        <f>VLOOKUP($B146,'Rekentool Natuur en landschap'!$A$40:$I$73,8,0)*$D146</f>
        <v>#N/A</v>
      </c>
      <c r="K146" t="e">
        <f>VLOOKUP($B146,'Rekentool Natuur en landschap'!$A$40:$I$73,9,0)*$D146</f>
        <v>#N/A</v>
      </c>
    </row>
    <row r="147" spans="1:11" x14ac:dyDescent="0.25">
      <c r="A147" t="s">
        <v>201</v>
      </c>
      <c r="B147" s="6" t="s">
        <v>153</v>
      </c>
      <c r="C147" s="6" t="s">
        <v>225</v>
      </c>
      <c r="D147" s="7">
        <v>1E-4</v>
      </c>
      <c r="E147" s="6" t="s">
        <v>224</v>
      </c>
      <c r="F147" s="6"/>
      <c r="G147" s="6" t="s">
        <v>195</v>
      </c>
      <c r="H147" s="6" t="s">
        <v>203</v>
      </c>
      <c r="I147" t="e">
        <f>VLOOKUP($B147,'Rekentool Natuur en landschap'!$A$40:$I$73,7,0)*$D147</f>
        <v>#N/A</v>
      </c>
      <c r="J147" t="e">
        <f>VLOOKUP($B147,'Rekentool Natuur en landschap'!$A$40:$I$73,8,0)*$D147</f>
        <v>#N/A</v>
      </c>
      <c r="K147" t="e">
        <f>VLOOKUP($B147,'Rekentool Natuur en landschap'!$A$40:$I$73,9,0)*$D147</f>
        <v>#N/A</v>
      </c>
    </row>
    <row r="148" spans="1:11" x14ac:dyDescent="0.25">
      <c r="A148" t="s">
        <v>201</v>
      </c>
      <c r="B148" s="6" t="s">
        <v>153</v>
      </c>
      <c r="C148" s="6" t="s">
        <v>225</v>
      </c>
      <c r="D148" s="7">
        <v>1E-4</v>
      </c>
      <c r="E148" s="6" t="s">
        <v>224</v>
      </c>
      <c r="F148" s="6"/>
      <c r="G148" s="6" t="s">
        <v>195</v>
      </c>
      <c r="H148" s="6" t="s">
        <v>203</v>
      </c>
      <c r="I148" t="e">
        <f>VLOOKUP($B148,'Rekentool Natuur en landschap'!$A$40:$I$73,7,0)*$D148</f>
        <v>#N/A</v>
      </c>
      <c r="J148" t="e">
        <f>VLOOKUP($B148,'Rekentool Natuur en landschap'!$A$40:$I$73,8,0)*$D148</f>
        <v>#N/A</v>
      </c>
      <c r="K148" t="e">
        <f>VLOOKUP($B148,'Rekentool Natuur en landschap'!$A$40:$I$73,9,0)*$D148</f>
        <v>#N/A</v>
      </c>
    </row>
    <row r="149" spans="1:11" x14ac:dyDescent="0.25">
      <c r="A149" t="s">
        <v>201</v>
      </c>
      <c r="B149" s="6" t="s">
        <v>153</v>
      </c>
      <c r="C149" s="6" t="s">
        <v>225</v>
      </c>
      <c r="D149" s="7">
        <v>2.0000000000000001E-4</v>
      </c>
      <c r="E149" s="6" t="s">
        <v>224</v>
      </c>
      <c r="F149" s="6"/>
      <c r="G149" s="6" t="s">
        <v>195</v>
      </c>
      <c r="H149" s="6" t="s">
        <v>203</v>
      </c>
      <c r="I149" t="e">
        <f>VLOOKUP($B149,'Rekentool Natuur en landschap'!$A$40:$I$73,7,0)*$D149</f>
        <v>#N/A</v>
      </c>
      <c r="J149" t="e">
        <f>VLOOKUP($B149,'Rekentool Natuur en landschap'!$A$40:$I$73,8,0)*$D149</f>
        <v>#N/A</v>
      </c>
      <c r="K149" t="e">
        <f>VLOOKUP($B149,'Rekentool Natuur en landschap'!$A$40:$I$73,9,0)*$D149</f>
        <v>#N/A</v>
      </c>
    </row>
    <row r="150" spans="1:11" x14ac:dyDescent="0.25">
      <c r="A150" t="s">
        <v>201</v>
      </c>
      <c r="B150" s="6" t="s">
        <v>153</v>
      </c>
      <c r="C150" s="6" t="s">
        <v>225</v>
      </c>
      <c r="D150" s="7">
        <v>1.6999999999999999E-3</v>
      </c>
      <c r="E150" s="6" t="s">
        <v>224</v>
      </c>
      <c r="F150" s="6"/>
      <c r="G150" s="6" t="s">
        <v>195</v>
      </c>
      <c r="H150" s="6" t="s">
        <v>203</v>
      </c>
      <c r="I150" t="e">
        <f>VLOOKUP($B150,'Rekentool Natuur en landschap'!$A$40:$I$73,7,0)*$D150</f>
        <v>#N/A</v>
      </c>
      <c r="J150" t="e">
        <f>VLOOKUP($B150,'Rekentool Natuur en landschap'!$A$40:$I$73,8,0)*$D150</f>
        <v>#N/A</v>
      </c>
      <c r="K150" t="e">
        <f>VLOOKUP($B150,'Rekentool Natuur en landschap'!$A$40:$I$73,9,0)*$D150</f>
        <v>#N/A</v>
      </c>
    </row>
    <row r="151" spans="1:11" x14ac:dyDescent="0.25">
      <c r="A151" t="s">
        <v>201</v>
      </c>
      <c r="B151" s="6" t="s">
        <v>168</v>
      </c>
      <c r="C151" s="6" t="s">
        <v>167</v>
      </c>
      <c r="D151" s="7">
        <v>4.5900000000000003E-2</v>
      </c>
      <c r="E151" s="6" t="s">
        <v>226</v>
      </c>
      <c r="F151" s="6"/>
      <c r="G151" s="6" t="s">
        <v>195</v>
      </c>
      <c r="H151" s="6" t="s">
        <v>203</v>
      </c>
      <c r="I151" t="e">
        <f>VLOOKUP($B151,'Rekentool Natuur en landschap'!$A$40:$I$73,7,0)*$D151</f>
        <v>#N/A</v>
      </c>
      <c r="J151" t="e">
        <f>VLOOKUP($B151,'Rekentool Natuur en landschap'!$A$40:$I$73,8,0)*$D151</f>
        <v>#N/A</v>
      </c>
      <c r="K151" t="e">
        <f>VLOOKUP($B151,'Rekentool Natuur en landschap'!$A$40:$I$73,9,0)*$D151</f>
        <v>#N/A</v>
      </c>
    </row>
    <row r="152" spans="1:11" x14ac:dyDescent="0.25">
      <c r="A152" t="s">
        <v>201</v>
      </c>
      <c r="B152" s="6" t="s">
        <v>148</v>
      </c>
      <c r="C152" s="6" t="s">
        <v>208</v>
      </c>
      <c r="D152" s="7">
        <v>1.5E-3</v>
      </c>
      <c r="E152" s="6" t="s">
        <v>226</v>
      </c>
      <c r="F152" s="6"/>
      <c r="G152" s="6" t="s">
        <v>195</v>
      </c>
      <c r="H152" s="6" t="s">
        <v>203</v>
      </c>
      <c r="I152" t="e">
        <f>VLOOKUP($B152,'Rekentool Natuur en landschap'!$A$40:$I$73,7,0)*$D152</f>
        <v>#N/A</v>
      </c>
      <c r="J152" t="e">
        <f>VLOOKUP($B152,'Rekentool Natuur en landschap'!$A$40:$I$73,8,0)*$D152</f>
        <v>#N/A</v>
      </c>
      <c r="K152" t="e">
        <f>VLOOKUP($B152,'Rekentool Natuur en landschap'!$A$40:$I$73,9,0)*$D152</f>
        <v>#N/A</v>
      </c>
    </row>
    <row r="153" spans="1:11" x14ac:dyDescent="0.25">
      <c r="A153" t="s">
        <v>201</v>
      </c>
      <c r="B153" s="6" t="s">
        <v>148</v>
      </c>
      <c r="C153" s="6" t="s">
        <v>208</v>
      </c>
      <c r="D153" s="7">
        <v>1.4E-3</v>
      </c>
      <c r="E153" s="6" t="s">
        <v>226</v>
      </c>
      <c r="F153" s="6"/>
      <c r="G153" s="6" t="s">
        <v>195</v>
      </c>
      <c r="H153" s="6" t="s">
        <v>203</v>
      </c>
      <c r="I153" t="e">
        <f>VLOOKUP($B153,'Rekentool Natuur en landschap'!$A$40:$I$73,7,0)*$D153</f>
        <v>#N/A</v>
      </c>
      <c r="J153" t="e">
        <f>VLOOKUP($B153,'Rekentool Natuur en landschap'!$A$40:$I$73,8,0)*$D153</f>
        <v>#N/A</v>
      </c>
      <c r="K153" t="e">
        <f>VLOOKUP($B153,'Rekentool Natuur en landschap'!$A$40:$I$73,9,0)*$D153</f>
        <v>#N/A</v>
      </c>
    </row>
    <row r="154" spans="1:11" x14ac:dyDescent="0.25">
      <c r="A154" t="s">
        <v>199</v>
      </c>
      <c r="B154" s="6" t="s">
        <v>170</v>
      </c>
      <c r="C154" s="6" t="s">
        <v>200</v>
      </c>
      <c r="D154" s="6">
        <v>1</v>
      </c>
      <c r="E154" s="6" t="s">
        <v>226</v>
      </c>
      <c r="F154" s="6"/>
      <c r="G154" s="6" t="s">
        <v>195</v>
      </c>
      <c r="H154" s="6" t="s">
        <v>203</v>
      </c>
      <c r="I154" t="e">
        <f>VLOOKUP($B154,'Rekentool Natuur en landschap'!$A$40:$I$73,7,0)*$D154</f>
        <v>#N/A</v>
      </c>
      <c r="J154" t="e">
        <f>VLOOKUP($B154,'Rekentool Natuur en landschap'!$A$40:$I$73,8,0)*$D154</f>
        <v>#N/A</v>
      </c>
      <c r="K154" t="e">
        <f>VLOOKUP($B154,'Rekentool Natuur en landschap'!$A$40:$I$73,9,0)*$D154</f>
        <v>#N/A</v>
      </c>
    </row>
    <row r="155" spans="1:11" x14ac:dyDescent="0.25">
      <c r="A155" t="s">
        <v>199</v>
      </c>
      <c r="B155" s="6" t="s">
        <v>170</v>
      </c>
      <c r="C155" s="6" t="s">
        <v>200</v>
      </c>
      <c r="D155" s="6">
        <v>1</v>
      </c>
      <c r="E155" s="6" t="s">
        <v>226</v>
      </c>
      <c r="F155" s="6"/>
      <c r="G155" s="6" t="s">
        <v>195</v>
      </c>
      <c r="H155" s="6" t="s">
        <v>203</v>
      </c>
      <c r="I155" t="e">
        <f>VLOOKUP($B155,'Rekentool Natuur en landschap'!$A$40:$I$73,7,0)*$D155</f>
        <v>#N/A</v>
      </c>
      <c r="J155" t="e">
        <f>VLOOKUP($B155,'Rekentool Natuur en landschap'!$A$40:$I$73,8,0)*$D155</f>
        <v>#N/A</v>
      </c>
      <c r="K155" t="e">
        <f>VLOOKUP($B155,'Rekentool Natuur en landschap'!$A$40:$I$73,9,0)*$D155</f>
        <v>#N/A</v>
      </c>
    </row>
    <row r="156" spans="1:11" x14ac:dyDescent="0.25">
      <c r="A156" t="s">
        <v>201</v>
      </c>
      <c r="B156" s="6" t="s">
        <v>156</v>
      </c>
      <c r="C156" s="6" t="s">
        <v>155</v>
      </c>
      <c r="D156" s="7">
        <v>4.4000000000000003E-3</v>
      </c>
      <c r="E156" s="6" t="s">
        <v>226</v>
      </c>
      <c r="F156" s="6"/>
      <c r="G156" s="6" t="s">
        <v>195</v>
      </c>
      <c r="H156" s="6" t="s">
        <v>203</v>
      </c>
      <c r="I156" t="e">
        <f>VLOOKUP($B156,'Rekentool Natuur en landschap'!$A$40:$I$73,7,0)*$D156</f>
        <v>#N/A</v>
      </c>
      <c r="J156" t="e">
        <f>VLOOKUP($B156,'Rekentool Natuur en landschap'!$A$40:$I$73,8,0)*$D156</f>
        <v>#N/A</v>
      </c>
      <c r="K156" t="e">
        <f>VLOOKUP($B156,'Rekentool Natuur en landschap'!$A$40:$I$73,9,0)*$D156</f>
        <v>#N/A</v>
      </c>
    </row>
    <row r="157" spans="1:11" x14ac:dyDescent="0.25">
      <c r="A157" t="s">
        <v>201</v>
      </c>
      <c r="B157" s="6" t="s">
        <v>148</v>
      </c>
      <c r="C157" s="6" t="s">
        <v>208</v>
      </c>
      <c r="D157" s="7">
        <v>1E-3</v>
      </c>
      <c r="E157" s="6" t="s">
        <v>226</v>
      </c>
      <c r="F157" s="6"/>
      <c r="G157" s="6" t="s">
        <v>195</v>
      </c>
      <c r="H157" s="6" t="s">
        <v>203</v>
      </c>
      <c r="I157" t="e">
        <f>VLOOKUP($B157,'Rekentool Natuur en landschap'!$A$40:$I$73,7,0)*$D157</f>
        <v>#N/A</v>
      </c>
      <c r="J157" t="e">
        <f>VLOOKUP($B157,'Rekentool Natuur en landschap'!$A$40:$I$73,8,0)*$D157</f>
        <v>#N/A</v>
      </c>
      <c r="K157" t="e">
        <f>VLOOKUP($B157,'Rekentool Natuur en landschap'!$A$40:$I$73,9,0)*$D157</f>
        <v>#N/A</v>
      </c>
    </row>
    <row r="158" spans="1:11" x14ac:dyDescent="0.25">
      <c r="A158" t="s">
        <v>201</v>
      </c>
      <c r="B158" s="6" t="s">
        <v>148</v>
      </c>
      <c r="C158" s="6" t="s">
        <v>208</v>
      </c>
      <c r="D158" s="7">
        <v>1E-3</v>
      </c>
      <c r="E158" s="6" t="s">
        <v>226</v>
      </c>
      <c r="F158" s="6"/>
      <c r="G158" s="6" t="s">
        <v>195</v>
      </c>
      <c r="H158" s="6" t="s">
        <v>203</v>
      </c>
      <c r="I158" t="e">
        <f>VLOOKUP($B158,'Rekentool Natuur en landschap'!$A$40:$I$73,7,0)*$D158</f>
        <v>#N/A</v>
      </c>
      <c r="J158" t="e">
        <f>VLOOKUP($B158,'Rekentool Natuur en landschap'!$A$40:$I$73,8,0)*$D158</f>
        <v>#N/A</v>
      </c>
      <c r="K158" t="e">
        <f>VLOOKUP($B158,'Rekentool Natuur en landschap'!$A$40:$I$73,9,0)*$D158</f>
        <v>#N/A</v>
      </c>
    </row>
    <row r="159" spans="1:11" x14ac:dyDescent="0.25">
      <c r="A159" t="s">
        <v>201</v>
      </c>
      <c r="B159" s="6" t="s">
        <v>148</v>
      </c>
      <c r="C159" s="6" t="s">
        <v>208</v>
      </c>
      <c r="D159" s="7">
        <v>1.1000000000000001E-3</v>
      </c>
      <c r="E159" s="6" t="s">
        <v>226</v>
      </c>
      <c r="F159" s="6"/>
      <c r="G159" s="6" t="s">
        <v>195</v>
      </c>
      <c r="H159" s="6" t="s">
        <v>203</v>
      </c>
      <c r="I159" t="e">
        <f>VLOOKUP($B159,'Rekentool Natuur en landschap'!$A$40:$I$73,7,0)*$D159</f>
        <v>#N/A</v>
      </c>
      <c r="J159" t="e">
        <f>VLOOKUP($B159,'Rekentool Natuur en landschap'!$A$40:$I$73,8,0)*$D159</f>
        <v>#N/A</v>
      </c>
      <c r="K159" t="e">
        <f>VLOOKUP($B159,'Rekentool Natuur en landschap'!$A$40:$I$73,9,0)*$D159</f>
        <v>#N/A</v>
      </c>
    </row>
    <row r="160" spans="1:11" x14ac:dyDescent="0.25">
      <c r="A160" t="s">
        <v>199</v>
      </c>
      <c r="B160" s="6" t="s">
        <v>170</v>
      </c>
      <c r="C160" s="6" t="s">
        <v>200</v>
      </c>
      <c r="D160" s="6">
        <v>1</v>
      </c>
      <c r="E160" s="6" t="s">
        <v>226</v>
      </c>
      <c r="F160" s="6"/>
      <c r="G160" s="6" t="s">
        <v>195</v>
      </c>
      <c r="H160" s="6" t="s">
        <v>203</v>
      </c>
      <c r="I160" t="e">
        <f>VLOOKUP($B160,'Rekentool Natuur en landschap'!$A$40:$I$73,7,0)*$D160</f>
        <v>#N/A</v>
      </c>
      <c r="J160" t="e">
        <f>VLOOKUP($B160,'Rekentool Natuur en landschap'!$A$40:$I$73,8,0)*$D160</f>
        <v>#N/A</v>
      </c>
      <c r="K160" t="e">
        <f>VLOOKUP($B160,'Rekentool Natuur en landschap'!$A$40:$I$73,9,0)*$D160</f>
        <v>#N/A</v>
      </c>
    </row>
    <row r="161" spans="1:11" x14ac:dyDescent="0.25">
      <c r="A161" t="s">
        <v>199</v>
      </c>
      <c r="B161" s="6" t="s">
        <v>170</v>
      </c>
      <c r="C161" s="6" t="s">
        <v>200</v>
      </c>
      <c r="D161" s="6">
        <v>1</v>
      </c>
      <c r="E161" s="6" t="s">
        <v>226</v>
      </c>
      <c r="F161" s="6"/>
      <c r="G161" s="6" t="s">
        <v>195</v>
      </c>
      <c r="H161" s="6" t="s">
        <v>203</v>
      </c>
      <c r="I161" t="e">
        <f>VLOOKUP($B161,'Rekentool Natuur en landschap'!$A$40:$I$73,7,0)*$D161</f>
        <v>#N/A</v>
      </c>
      <c r="J161" t="e">
        <f>VLOOKUP($B161,'Rekentool Natuur en landschap'!$A$40:$I$73,8,0)*$D161</f>
        <v>#N/A</v>
      </c>
      <c r="K161" t="e">
        <f>VLOOKUP($B161,'Rekentool Natuur en landschap'!$A$40:$I$73,9,0)*$D161</f>
        <v>#N/A</v>
      </c>
    </row>
    <row r="162" spans="1:11" x14ac:dyDescent="0.25">
      <c r="A162" t="s">
        <v>199</v>
      </c>
      <c r="B162" s="6" t="s">
        <v>170</v>
      </c>
      <c r="C162" s="6" t="s">
        <v>200</v>
      </c>
      <c r="D162" s="6">
        <v>1</v>
      </c>
      <c r="E162" s="6" t="s">
        <v>226</v>
      </c>
      <c r="F162" s="6"/>
      <c r="G162" s="6" t="s">
        <v>195</v>
      </c>
      <c r="H162" s="6" t="s">
        <v>203</v>
      </c>
      <c r="I162" t="e">
        <f>VLOOKUP($B162,'Rekentool Natuur en landschap'!$A$40:$I$73,7,0)*$D162</f>
        <v>#N/A</v>
      </c>
      <c r="J162" t="e">
        <f>VLOOKUP($B162,'Rekentool Natuur en landschap'!$A$40:$I$73,8,0)*$D162</f>
        <v>#N/A</v>
      </c>
      <c r="K162" t="e">
        <f>VLOOKUP($B162,'Rekentool Natuur en landschap'!$A$40:$I$73,9,0)*$D162</f>
        <v>#N/A</v>
      </c>
    </row>
    <row r="163" spans="1:11" x14ac:dyDescent="0.25">
      <c r="A163" t="s">
        <v>199</v>
      </c>
      <c r="B163" s="6" t="s">
        <v>170</v>
      </c>
      <c r="C163" s="6" t="s">
        <v>200</v>
      </c>
      <c r="D163" s="6">
        <v>1</v>
      </c>
      <c r="E163" s="6" t="s">
        <v>226</v>
      </c>
      <c r="F163" s="6"/>
      <c r="G163" s="6" t="s">
        <v>195</v>
      </c>
      <c r="H163" s="6" t="s">
        <v>203</v>
      </c>
      <c r="I163" t="e">
        <f>VLOOKUP($B163,'Rekentool Natuur en landschap'!$A$40:$I$73,7,0)*$D163</f>
        <v>#N/A</v>
      </c>
      <c r="J163" t="e">
        <f>VLOOKUP($B163,'Rekentool Natuur en landschap'!$A$40:$I$73,8,0)*$D163</f>
        <v>#N/A</v>
      </c>
      <c r="K163" t="e">
        <f>VLOOKUP($B163,'Rekentool Natuur en landschap'!$A$40:$I$73,9,0)*$D163</f>
        <v>#N/A</v>
      </c>
    </row>
    <row r="164" spans="1:11" x14ac:dyDescent="0.25">
      <c r="A164" t="s">
        <v>199</v>
      </c>
      <c r="B164" s="6" t="s">
        <v>170</v>
      </c>
      <c r="C164" s="6" t="s">
        <v>200</v>
      </c>
      <c r="D164" s="6">
        <v>1</v>
      </c>
      <c r="E164" s="6" t="s">
        <v>226</v>
      </c>
      <c r="F164" s="6"/>
      <c r="G164" s="6" t="s">
        <v>195</v>
      </c>
      <c r="H164" s="6" t="s">
        <v>203</v>
      </c>
      <c r="I164" t="e">
        <f>VLOOKUP($B164,'Rekentool Natuur en landschap'!$A$40:$I$73,7,0)*$D164</f>
        <v>#N/A</v>
      </c>
      <c r="J164" t="e">
        <f>VLOOKUP($B164,'Rekentool Natuur en landschap'!$A$40:$I$73,8,0)*$D164</f>
        <v>#N/A</v>
      </c>
      <c r="K164" t="e">
        <f>VLOOKUP($B164,'Rekentool Natuur en landschap'!$A$40:$I$73,9,0)*$D164</f>
        <v>#N/A</v>
      </c>
    </row>
    <row r="165" spans="1:11" x14ac:dyDescent="0.25">
      <c r="A165" t="s">
        <v>199</v>
      </c>
      <c r="B165" s="6" t="s">
        <v>170</v>
      </c>
      <c r="C165" s="6" t="s">
        <v>200</v>
      </c>
      <c r="D165" s="6">
        <v>1</v>
      </c>
      <c r="E165" s="6" t="s">
        <v>226</v>
      </c>
      <c r="F165" s="6"/>
      <c r="G165" s="6" t="s">
        <v>195</v>
      </c>
      <c r="H165" s="6" t="s">
        <v>203</v>
      </c>
      <c r="I165" t="e">
        <f>VLOOKUP($B165,'Rekentool Natuur en landschap'!$A$40:$I$73,7,0)*$D165</f>
        <v>#N/A</v>
      </c>
      <c r="J165" t="e">
        <f>VLOOKUP($B165,'Rekentool Natuur en landschap'!$A$40:$I$73,8,0)*$D165</f>
        <v>#N/A</v>
      </c>
      <c r="K165" t="e">
        <f>VLOOKUP($B165,'Rekentool Natuur en landschap'!$A$40:$I$73,9,0)*$D165</f>
        <v>#N/A</v>
      </c>
    </row>
    <row r="166" spans="1:11" x14ac:dyDescent="0.25">
      <c r="B166" s="6" t="s">
        <v>54</v>
      </c>
      <c r="C166" s="6" t="s">
        <v>222</v>
      </c>
      <c r="D166" s="7">
        <v>0.1729</v>
      </c>
      <c r="E166" s="6" t="s">
        <v>226</v>
      </c>
      <c r="F166" s="6"/>
      <c r="G166" s="6" t="s">
        <v>195</v>
      </c>
      <c r="H166" s="6" t="s">
        <v>203</v>
      </c>
      <c r="I166" t="e">
        <f>VLOOKUP($B166,'Rekentool Natuur en landschap'!$A$40:$I$73,7,0)*$D166</f>
        <v>#N/A</v>
      </c>
      <c r="J166" t="e">
        <f>VLOOKUP($B166,'Rekentool Natuur en landschap'!$A$40:$I$73,8,0)*$D166</f>
        <v>#N/A</v>
      </c>
      <c r="K166" t="e">
        <f>VLOOKUP($B166,'Rekentool Natuur en landschap'!$A$40:$I$73,9,0)*$D166</f>
        <v>#N/A</v>
      </c>
    </row>
    <row r="167" spans="1:11" x14ac:dyDescent="0.25">
      <c r="B167" s="6" t="s">
        <v>204</v>
      </c>
      <c r="C167" s="6" t="s">
        <v>227</v>
      </c>
      <c r="D167" s="7">
        <v>0.130157841313641</v>
      </c>
      <c r="E167" s="6" t="s">
        <v>228</v>
      </c>
      <c r="F167" s="6"/>
      <c r="G167" s="6" t="s">
        <v>213</v>
      </c>
      <c r="H167" s="6" t="s">
        <v>203</v>
      </c>
      <c r="J167"/>
    </row>
    <row r="168" spans="1:11" x14ac:dyDescent="0.25">
      <c r="B168" s="6" t="s">
        <v>204</v>
      </c>
      <c r="C168" s="6" t="s">
        <v>203</v>
      </c>
      <c r="D168" s="7">
        <v>0.48845315599227301</v>
      </c>
      <c r="E168" s="6" t="s">
        <v>228</v>
      </c>
      <c r="F168" s="6"/>
      <c r="G168" s="6" t="s">
        <v>213</v>
      </c>
      <c r="H168" s="6" t="s">
        <v>203</v>
      </c>
      <c r="J168"/>
    </row>
    <row r="169" spans="1:11" x14ac:dyDescent="0.25">
      <c r="B169" s="6" t="s">
        <v>204</v>
      </c>
      <c r="C169" s="6" t="s">
        <v>227</v>
      </c>
      <c r="D169" s="7">
        <v>0.42624708435631398</v>
      </c>
      <c r="E169" s="6" t="s">
        <v>228</v>
      </c>
      <c r="F169" s="6"/>
      <c r="G169" s="6" t="s">
        <v>213</v>
      </c>
      <c r="H169" s="6" t="s">
        <v>203</v>
      </c>
      <c r="J169"/>
    </row>
    <row r="170" spans="1:11" x14ac:dyDescent="0.25">
      <c r="B170" s="6" t="s">
        <v>204</v>
      </c>
      <c r="C170" s="6" t="s">
        <v>227</v>
      </c>
      <c r="D170" s="7">
        <v>9.5998875286523802E-2</v>
      </c>
      <c r="E170" s="6" t="s">
        <v>228</v>
      </c>
      <c r="F170" s="6"/>
      <c r="G170" s="6" t="s">
        <v>213</v>
      </c>
      <c r="H170" s="6" t="s">
        <v>203</v>
      </c>
      <c r="J170"/>
    </row>
    <row r="171" spans="1:11" x14ac:dyDescent="0.25">
      <c r="B171" s="6" t="s">
        <v>204</v>
      </c>
      <c r="C171" s="6" t="s">
        <v>227</v>
      </c>
      <c r="D171" s="7">
        <v>3.8657237516205499E-2</v>
      </c>
      <c r="E171" s="6" t="s">
        <v>228</v>
      </c>
      <c r="F171" s="6"/>
      <c r="G171" s="6" t="s">
        <v>213</v>
      </c>
      <c r="H171" s="6" t="s">
        <v>203</v>
      </c>
      <c r="J171"/>
    </row>
    <row r="172" spans="1:11" x14ac:dyDescent="0.25">
      <c r="B172" s="6" t="s">
        <v>204</v>
      </c>
      <c r="C172" s="6" t="s">
        <v>227</v>
      </c>
      <c r="D172" s="7">
        <v>0.114594693921113</v>
      </c>
      <c r="E172" s="6" t="s">
        <v>228</v>
      </c>
      <c r="F172" s="6"/>
      <c r="G172" s="6" t="s">
        <v>213</v>
      </c>
      <c r="H172" s="6" t="s">
        <v>203</v>
      </c>
      <c r="J172"/>
    </row>
    <row r="173" spans="1:11" x14ac:dyDescent="0.25">
      <c r="B173" s="6" t="s">
        <v>204</v>
      </c>
      <c r="C173" s="6" t="s">
        <v>227</v>
      </c>
      <c r="D173" s="7">
        <v>1.73162703384216</v>
      </c>
      <c r="E173" s="6" t="s">
        <v>228</v>
      </c>
      <c r="F173" s="6"/>
      <c r="G173" s="6" t="s">
        <v>213</v>
      </c>
      <c r="H173" s="6" t="s">
        <v>203</v>
      </c>
      <c r="J173"/>
    </row>
    <row r="174" spans="1:11" x14ac:dyDescent="0.25">
      <c r="A174" t="s">
        <v>199</v>
      </c>
      <c r="B174" s="6" t="s">
        <v>170</v>
      </c>
      <c r="C174" s="6" t="s">
        <v>200</v>
      </c>
      <c r="D174" s="6">
        <v>1</v>
      </c>
      <c r="E174" s="6" t="s">
        <v>228</v>
      </c>
      <c r="F174" s="6"/>
      <c r="G174" s="6" t="s">
        <v>213</v>
      </c>
      <c r="H174" s="6" t="s">
        <v>203</v>
      </c>
      <c r="I174" t="e">
        <f>VLOOKUP($B174,'Rekentool Natuur en landschap'!$A$40:$I$73,7,0)*$D174</f>
        <v>#N/A</v>
      </c>
      <c r="J174" t="e">
        <f>VLOOKUP($B174,'Rekentool Natuur en landschap'!$A$40:$I$73,8,0)*$D174</f>
        <v>#N/A</v>
      </c>
      <c r="K174" t="e">
        <f>VLOOKUP($B174,'Rekentool Natuur en landschap'!$A$40:$I$73,9,0)*$D174</f>
        <v>#N/A</v>
      </c>
    </row>
    <row r="175" spans="1:11" x14ac:dyDescent="0.25">
      <c r="A175" t="s">
        <v>199</v>
      </c>
      <c r="B175" s="6" t="s">
        <v>170</v>
      </c>
      <c r="C175" s="6" t="s">
        <v>200</v>
      </c>
      <c r="D175" s="6">
        <v>1</v>
      </c>
      <c r="E175" s="6" t="s">
        <v>228</v>
      </c>
      <c r="F175" s="6"/>
      <c r="G175" s="6" t="s">
        <v>213</v>
      </c>
      <c r="H175" s="6" t="s">
        <v>203</v>
      </c>
      <c r="I175" t="e">
        <f>VLOOKUP($B175,'Rekentool Natuur en landschap'!$A$40:$I$73,7,0)*$D175</f>
        <v>#N/A</v>
      </c>
      <c r="J175" t="e">
        <f>VLOOKUP($B175,'Rekentool Natuur en landschap'!$A$40:$I$73,8,0)*$D175</f>
        <v>#N/A</v>
      </c>
      <c r="K175" t="e">
        <f>VLOOKUP($B175,'Rekentool Natuur en landschap'!$A$40:$I$73,9,0)*$D175</f>
        <v>#N/A</v>
      </c>
    </row>
    <row r="176" spans="1:11" x14ac:dyDescent="0.25">
      <c r="A176" t="s">
        <v>201</v>
      </c>
      <c r="B176" s="6" t="s">
        <v>162</v>
      </c>
      <c r="C176" s="6" t="s">
        <v>161</v>
      </c>
      <c r="D176" s="7">
        <v>1.78E-2</v>
      </c>
      <c r="E176" s="6" t="s">
        <v>228</v>
      </c>
      <c r="F176" s="6"/>
      <c r="G176" s="6" t="s">
        <v>213</v>
      </c>
      <c r="H176" s="6" t="s">
        <v>203</v>
      </c>
      <c r="I176" t="e">
        <f>VLOOKUP($B176,'Rekentool Natuur en landschap'!$A$40:$I$73,7,0)*$D176</f>
        <v>#N/A</v>
      </c>
      <c r="J176" t="e">
        <f>VLOOKUP($B176,'Rekentool Natuur en landschap'!$A$40:$I$73,8,0)*$D176</f>
        <v>#N/A</v>
      </c>
      <c r="K176" t="e">
        <f>VLOOKUP($B176,'Rekentool Natuur en landschap'!$A$40:$I$73,9,0)*$D176</f>
        <v>#N/A</v>
      </c>
    </row>
    <row r="177" spans="1:11" x14ac:dyDescent="0.25">
      <c r="A177" t="s">
        <v>199</v>
      </c>
      <c r="B177" s="6" t="s">
        <v>170</v>
      </c>
      <c r="C177" s="6" t="s">
        <v>200</v>
      </c>
      <c r="D177" s="6">
        <v>1</v>
      </c>
      <c r="E177" s="6" t="s">
        <v>228</v>
      </c>
      <c r="F177" s="6"/>
      <c r="G177" s="6" t="s">
        <v>213</v>
      </c>
      <c r="H177" s="6" t="s">
        <v>203</v>
      </c>
      <c r="I177" t="e">
        <f>VLOOKUP($B177,'Rekentool Natuur en landschap'!$A$40:$I$73,7,0)*$D177</f>
        <v>#N/A</v>
      </c>
      <c r="J177" t="e">
        <f>VLOOKUP($B177,'Rekentool Natuur en landschap'!$A$40:$I$73,8,0)*$D177</f>
        <v>#N/A</v>
      </c>
      <c r="K177" t="e">
        <f>VLOOKUP($B177,'Rekentool Natuur en landschap'!$A$40:$I$73,9,0)*$D177</f>
        <v>#N/A</v>
      </c>
    </row>
    <row r="178" spans="1:11" x14ac:dyDescent="0.25">
      <c r="A178" t="s">
        <v>199</v>
      </c>
      <c r="B178" s="6" t="s">
        <v>170</v>
      </c>
      <c r="C178" s="6" t="s">
        <v>200</v>
      </c>
      <c r="D178" s="6">
        <v>1</v>
      </c>
      <c r="E178" s="6" t="s">
        <v>228</v>
      </c>
      <c r="F178" s="6"/>
      <c r="G178" s="6" t="s">
        <v>213</v>
      </c>
      <c r="H178" s="6" t="s">
        <v>203</v>
      </c>
      <c r="I178" t="e">
        <f>VLOOKUP($B178,'Rekentool Natuur en landschap'!$A$40:$I$73,7,0)*$D178</f>
        <v>#N/A</v>
      </c>
      <c r="J178" t="e">
        <f>VLOOKUP($B178,'Rekentool Natuur en landschap'!$A$40:$I$73,8,0)*$D178</f>
        <v>#N/A</v>
      </c>
      <c r="K178" t="e">
        <f>VLOOKUP($B178,'Rekentool Natuur en landschap'!$A$40:$I$73,9,0)*$D178</f>
        <v>#N/A</v>
      </c>
    </row>
    <row r="179" spans="1:11" x14ac:dyDescent="0.25">
      <c r="A179" t="s">
        <v>199</v>
      </c>
      <c r="B179" s="6" t="s">
        <v>170</v>
      </c>
      <c r="C179" s="6" t="s">
        <v>200</v>
      </c>
      <c r="D179" s="6">
        <v>1</v>
      </c>
      <c r="E179" s="6" t="s">
        <v>228</v>
      </c>
      <c r="F179" s="6"/>
      <c r="G179" s="6" t="s">
        <v>213</v>
      </c>
      <c r="H179" s="6" t="s">
        <v>203</v>
      </c>
      <c r="I179" t="e">
        <f>VLOOKUP($B179,'Rekentool Natuur en landschap'!$A$40:$I$73,7,0)*$D179</f>
        <v>#N/A</v>
      </c>
      <c r="J179" t="e">
        <f>VLOOKUP($B179,'Rekentool Natuur en landschap'!$A$40:$I$73,8,0)*$D179</f>
        <v>#N/A</v>
      </c>
      <c r="K179" t="e">
        <f>VLOOKUP($B179,'Rekentool Natuur en landschap'!$A$40:$I$73,9,0)*$D179</f>
        <v>#N/A</v>
      </c>
    </row>
    <row r="180" spans="1:11" x14ac:dyDescent="0.25">
      <c r="A180" t="s">
        <v>199</v>
      </c>
      <c r="B180" s="6" t="s">
        <v>170</v>
      </c>
      <c r="C180" s="6" t="s">
        <v>200</v>
      </c>
      <c r="D180" s="6">
        <v>1</v>
      </c>
      <c r="E180" s="6" t="s">
        <v>228</v>
      </c>
      <c r="F180" s="6"/>
      <c r="G180" s="6" t="s">
        <v>213</v>
      </c>
      <c r="H180" s="6" t="s">
        <v>203</v>
      </c>
      <c r="I180" t="e">
        <f>VLOOKUP($B180,'Rekentool Natuur en landschap'!$A$40:$I$73,7,0)*$D180</f>
        <v>#N/A</v>
      </c>
      <c r="J180" t="e">
        <f>VLOOKUP($B180,'Rekentool Natuur en landschap'!$A$40:$I$73,8,0)*$D180</f>
        <v>#N/A</v>
      </c>
      <c r="K180" t="e">
        <f>VLOOKUP($B180,'Rekentool Natuur en landschap'!$A$40:$I$73,9,0)*$D180</f>
        <v>#N/A</v>
      </c>
    </row>
    <row r="181" spans="1:11" x14ac:dyDescent="0.25">
      <c r="A181" t="s">
        <v>199</v>
      </c>
      <c r="B181" s="6" t="s">
        <v>170</v>
      </c>
      <c r="C181" s="6" t="s">
        <v>200</v>
      </c>
      <c r="D181" s="6">
        <v>1</v>
      </c>
      <c r="E181" s="6" t="s">
        <v>228</v>
      </c>
      <c r="F181" s="6"/>
      <c r="G181" s="6" t="s">
        <v>213</v>
      </c>
      <c r="H181" s="6" t="s">
        <v>203</v>
      </c>
      <c r="I181" t="e">
        <f>VLOOKUP($B181,'Rekentool Natuur en landschap'!$A$40:$I$73,7,0)*$D181</f>
        <v>#N/A</v>
      </c>
      <c r="J181" t="e">
        <f>VLOOKUP($B181,'Rekentool Natuur en landschap'!$A$40:$I$73,8,0)*$D181</f>
        <v>#N/A</v>
      </c>
      <c r="K181" t="e">
        <f>VLOOKUP($B181,'Rekentool Natuur en landschap'!$A$40:$I$73,9,0)*$D181</f>
        <v>#N/A</v>
      </c>
    </row>
    <row r="182" spans="1:11" x14ac:dyDescent="0.25">
      <c r="A182" t="s">
        <v>199</v>
      </c>
      <c r="B182" s="6" t="s">
        <v>170</v>
      </c>
      <c r="C182" s="6" t="s">
        <v>200</v>
      </c>
      <c r="D182" s="6">
        <v>1</v>
      </c>
      <c r="E182" s="6" t="s">
        <v>228</v>
      </c>
      <c r="F182" s="6"/>
      <c r="G182" s="6" t="s">
        <v>213</v>
      </c>
      <c r="H182" s="6" t="s">
        <v>203</v>
      </c>
      <c r="I182" t="e">
        <f>VLOOKUP($B182,'Rekentool Natuur en landschap'!$A$40:$I$73,7,0)*$D182</f>
        <v>#N/A</v>
      </c>
      <c r="J182" t="e">
        <f>VLOOKUP($B182,'Rekentool Natuur en landschap'!$A$40:$I$73,8,0)*$D182</f>
        <v>#N/A</v>
      </c>
      <c r="K182" t="e">
        <f>VLOOKUP($B182,'Rekentool Natuur en landschap'!$A$40:$I$73,9,0)*$D182</f>
        <v>#N/A</v>
      </c>
    </row>
  </sheetData>
  <autoFilter ref="A1:K182" xr:uid="{ED952C61-7B74-4CD2-9304-6DE2E383A6FF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CAB71-103B-4113-82E4-A797B571FD0D}">
  <sheetPr>
    <tabColor rgb="FF00B0F0"/>
  </sheetPr>
  <dimension ref="A1:I85"/>
  <sheetViews>
    <sheetView workbookViewId="0">
      <pane ySplit="1" topLeftCell="A9" activePane="bottomLeft" state="frozen"/>
      <selection activeCell="J1" sqref="J1"/>
      <selection pane="bottomLeft" activeCell="I13" sqref="I13"/>
    </sheetView>
  </sheetViews>
  <sheetFormatPr defaultRowHeight="15" x14ac:dyDescent="0.25"/>
  <cols>
    <col min="2" max="2" width="8.7109375" bestFit="1" customWidth="1"/>
    <col min="3" max="3" width="44.85546875" bestFit="1" customWidth="1"/>
    <col min="4" max="4" width="30.42578125" bestFit="1" customWidth="1"/>
    <col min="5" max="5" width="10.140625" bestFit="1" customWidth="1"/>
    <col min="6" max="6" width="21.140625" bestFit="1" customWidth="1"/>
    <col min="7" max="7" width="9" bestFit="1" customWidth="1"/>
    <col min="8" max="9" width="14.28515625" bestFit="1" customWidth="1"/>
  </cols>
  <sheetData>
    <row r="1" spans="1:9" x14ac:dyDescent="0.25">
      <c r="A1" s="1" t="s">
        <v>229</v>
      </c>
      <c r="B1" t="s">
        <v>230</v>
      </c>
      <c r="C1" t="s">
        <v>182</v>
      </c>
      <c r="D1" t="s">
        <v>231</v>
      </c>
      <c r="E1" t="s">
        <v>232</v>
      </c>
      <c r="F1" t="s">
        <v>233</v>
      </c>
      <c r="G1" t="s">
        <v>234</v>
      </c>
      <c r="H1" t="s">
        <v>189</v>
      </c>
      <c r="I1" t="s">
        <v>190</v>
      </c>
    </row>
    <row r="2" spans="1:9" x14ac:dyDescent="0.25">
      <c r="A2">
        <v>1</v>
      </c>
      <c r="B2" t="s">
        <v>48</v>
      </c>
      <c r="C2" t="s">
        <v>235</v>
      </c>
      <c r="D2">
        <v>8.7509789999999992</v>
      </c>
      <c r="E2">
        <v>0</v>
      </c>
      <c r="F2">
        <v>54.4465</v>
      </c>
      <c r="G2" t="e">
        <f>VLOOKUP(Query1_256[[#This Row],[pcode]],'Rekentool Natuur en landschap'!$A$40:$I$73,7,0)*Query1_256[[#This Row],[totaaloppervlaktepakket]]</f>
        <v>#N/A</v>
      </c>
      <c r="H2" t="e">
        <f>VLOOKUP(Query1_256[[#This Row],[pcode]],'Rekentool Natuur en landschap'!$A$40:$I$73,8,0)*Query1_256[[#This Row],[totaaloppervlaktepakket]]</f>
        <v>#N/A</v>
      </c>
      <c r="I2" t="e">
        <f>VLOOKUP(Query1_256[[#This Row],[pcode]],'Rekentool Natuur en landschap'!$A$40:$I$73,9,0)*Query1_256[[#This Row],[totaaloppervlaktepakket]]</f>
        <v>#N/A</v>
      </c>
    </row>
    <row r="3" spans="1:9" x14ac:dyDescent="0.25">
      <c r="A3">
        <v>1</v>
      </c>
      <c r="B3" t="s">
        <v>62</v>
      </c>
      <c r="C3" t="s">
        <v>236</v>
      </c>
      <c r="D3">
        <v>36.227440000000001</v>
      </c>
      <c r="E3">
        <v>0</v>
      </c>
      <c r="F3">
        <v>54.4465</v>
      </c>
      <c r="G3" t="e">
        <f>VLOOKUP(Query1_256[[#This Row],[pcode]],'Rekentool Natuur en landschap'!$A$40:$I$73,7,0)*Query1_256[[#This Row],[totaaloppervlaktepakket]]</f>
        <v>#N/A</v>
      </c>
      <c r="H3" t="e">
        <f>VLOOKUP(Query1_256[[#This Row],[pcode]],'Rekentool Natuur en landschap'!$A$40:$I$73,8,0)*Query1_256[[#This Row],[totaaloppervlaktepakket]]</f>
        <v>#N/A</v>
      </c>
      <c r="I3" t="e">
        <f>VLOOKUP(Query1_256[[#This Row],[pcode]],'Rekentool Natuur en landschap'!$A$40:$I$73,9,0)*Query1_256[[#This Row],[totaaloppervlaktepakket]]</f>
        <v>#N/A</v>
      </c>
    </row>
    <row r="4" spans="1:9" x14ac:dyDescent="0.25">
      <c r="A4">
        <v>1</v>
      </c>
      <c r="B4" t="s">
        <v>204</v>
      </c>
      <c r="C4" t="s">
        <v>237</v>
      </c>
      <c r="D4">
        <v>1.189937</v>
      </c>
      <c r="E4">
        <v>0</v>
      </c>
      <c r="F4">
        <v>54.4465</v>
      </c>
    </row>
    <row r="5" spans="1:9" x14ac:dyDescent="0.25">
      <c r="A5">
        <v>1</v>
      </c>
      <c r="B5" t="s">
        <v>104</v>
      </c>
      <c r="C5" t="s">
        <v>216</v>
      </c>
      <c r="D5">
        <v>8.7511259999999993</v>
      </c>
      <c r="E5">
        <v>0</v>
      </c>
      <c r="F5">
        <v>54.4465</v>
      </c>
      <c r="G5" t="e">
        <f>VLOOKUP(Query1_256[[#This Row],[pcode]],'Rekentool Natuur en landschap'!$A$40:$I$73,7,0)*Query1_256[[#This Row],[totaaloppervlaktepakket]]</f>
        <v>#N/A</v>
      </c>
      <c r="H5" t="e">
        <f>VLOOKUP(Query1_256[[#This Row],[pcode]],'Rekentool Natuur en landschap'!$A$40:$I$73,8,0)*Query1_256[[#This Row],[totaaloppervlaktepakket]]</f>
        <v>#N/A</v>
      </c>
      <c r="I5" t="e">
        <f>VLOOKUP(Query1_256[[#This Row],[pcode]],'Rekentool Natuur en landschap'!$A$40:$I$73,9,0)*Query1_256[[#This Row],[totaaloppervlaktepakket]]</f>
        <v>#N/A</v>
      </c>
    </row>
    <row r="6" spans="1:9" x14ac:dyDescent="0.25">
      <c r="A6">
        <v>1</v>
      </c>
      <c r="B6" t="s">
        <v>72</v>
      </c>
      <c r="C6" t="s">
        <v>238</v>
      </c>
      <c r="D6">
        <v>2.5640879999999999</v>
      </c>
      <c r="E6">
        <v>0</v>
      </c>
      <c r="F6">
        <v>54.4465</v>
      </c>
      <c r="G6" t="e">
        <f>VLOOKUP(Query1_256[[#This Row],[pcode]],'Rekentool Natuur en landschap'!$A$40:$I$73,7,0)*Query1_256[[#This Row],[totaaloppervlaktepakket]]</f>
        <v>#N/A</v>
      </c>
      <c r="H6" t="e">
        <f>VLOOKUP(Query1_256[[#This Row],[pcode]],'Rekentool Natuur en landschap'!$A$40:$I$73,8,0)*Query1_256[[#This Row],[totaaloppervlaktepakket]]</f>
        <v>#N/A</v>
      </c>
      <c r="I6" t="e">
        <f>VLOOKUP(Query1_256[[#This Row],[pcode]],'Rekentool Natuur en landschap'!$A$40:$I$73,9,0)*Query1_256[[#This Row],[totaaloppervlaktepakket]]</f>
        <v>#N/A</v>
      </c>
    </row>
    <row r="7" spans="1:9" x14ac:dyDescent="0.25">
      <c r="A7">
        <v>1</v>
      </c>
      <c r="B7" t="s">
        <v>170</v>
      </c>
      <c r="C7" t="s">
        <v>200</v>
      </c>
      <c r="D7">
        <v>2E-3</v>
      </c>
      <c r="E7">
        <v>0</v>
      </c>
      <c r="F7">
        <v>54.4465</v>
      </c>
      <c r="G7" t="e">
        <f>VLOOKUP(Query1_256[[#This Row],[pcode]],'Rekentool Natuur en landschap'!$A$40:$I$73,7,0)*Query1_256[[#This Row],[totaaloppervlaktepakket]]</f>
        <v>#N/A</v>
      </c>
      <c r="H7" t="e">
        <f>VLOOKUP(Query1_256[[#This Row],[pcode]],'Rekentool Natuur en landschap'!$A$40:$I$73,8,0)*Query1_256[[#This Row],[totaaloppervlaktepakket]]</f>
        <v>#N/A</v>
      </c>
      <c r="I7" t="e">
        <f>VLOOKUP(Query1_256[[#This Row],[pcode]],'Rekentool Natuur en landschap'!$A$40:$I$73,9,0)*Query1_256[[#This Row],[totaaloppervlaktepakket]]</f>
        <v>#N/A</v>
      </c>
    </row>
    <row r="8" spans="1:9" x14ac:dyDescent="0.25">
      <c r="A8">
        <v>2</v>
      </c>
      <c r="B8" t="s">
        <v>204</v>
      </c>
      <c r="C8" t="s">
        <v>239</v>
      </c>
      <c r="D8">
        <v>3.838212</v>
      </c>
      <c r="E8">
        <v>1</v>
      </c>
      <c r="F8">
        <v>83.029499999999999</v>
      </c>
    </row>
    <row r="9" spans="1:9" x14ac:dyDescent="0.25">
      <c r="A9">
        <v>2</v>
      </c>
      <c r="B9" t="s">
        <v>148</v>
      </c>
      <c r="C9" t="s">
        <v>208</v>
      </c>
      <c r="D9">
        <v>5.9999999999999995E-4</v>
      </c>
      <c r="E9">
        <v>1</v>
      </c>
      <c r="F9">
        <v>83.029499999999999</v>
      </c>
      <c r="G9" t="e">
        <f>VLOOKUP(Query1_256[[#This Row],[pcode]],'Rekentool Natuur en landschap'!$A$40:$I$73,7,0)*Query1_256[[#This Row],[totaaloppervlaktepakket]]</f>
        <v>#N/A</v>
      </c>
      <c r="H9" t="e">
        <f>VLOOKUP(Query1_256[[#This Row],[pcode]],'Rekentool Natuur en landschap'!$A$40:$I$73,8,0)*Query1_256[[#This Row],[totaaloppervlaktepakket]]</f>
        <v>#N/A</v>
      </c>
      <c r="I9" t="e">
        <f>VLOOKUP(Query1_256[[#This Row],[pcode]],'Rekentool Natuur en landschap'!$A$40:$I$73,9,0)*Query1_256[[#This Row],[totaaloppervlaktepakket]]</f>
        <v>#N/A</v>
      </c>
    </row>
    <row r="10" spans="1:9" x14ac:dyDescent="0.25">
      <c r="A10">
        <v>2</v>
      </c>
      <c r="B10" t="s">
        <v>156</v>
      </c>
      <c r="C10" t="s">
        <v>155</v>
      </c>
      <c r="D10">
        <v>2.5999999999999999E-3</v>
      </c>
      <c r="E10">
        <v>1</v>
      </c>
      <c r="F10">
        <v>83.029499999999999</v>
      </c>
      <c r="G10" t="e">
        <f>VLOOKUP(Query1_256[[#This Row],[pcode]],'Rekentool Natuur en landschap'!$A$40:$I$73,7,0)*Query1_256[[#This Row],[totaaloppervlaktepakket]]</f>
        <v>#N/A</v>
      </c>
      <c r="H10" t="e">
        <f>VLOOKUP(Query1_256[[#This Row],[pcode]],'Rekentool Natuur en landschap'!$A$40:$I$73,8,0)*Query1_256[[#This Row],[totaaloppervlaktepakket]]</f>
        <v>#N/A</v>
      </c>
      <c r="I10" t="e">
        <f>VLOOKUP(Query1_256[[#This Row],[pcode]],'Rekentool Natuur en landschap'!$A$40:$I$73,9,0)*Query1_256[[#This Row],[totaaloppervlaktepakket]]</f>
        <v>#N/A</v>
      </c>
    </row>
    <row r="11" spans="1:9" x14ac:dyDescent="0.25">
      <c r="A11">
        <v>2</v>
      </c>
      <c r="B11" t="s">
        <v>162</v>
      </c>
      <c r="C11" t="s">
        <v>161</v>
      </c>
      <c r="D11">
        <v>7.8399999999999997E-2</v>
      </c>
      <c r="E11">
        <v>1</v>
      </c>
      <c r="F11">
        <v>83.029499999999999</v>
      </c>
      <c r="G11" t="e">
        <f>VLOOKUP(Query1_256[[#This Row],[pcode]],'Rekentool Natuur en landschap'!$A$40:$I$73,7,0)*Query1_256[[#This Row],[totaaloppervlaktepakket]]</f>
        <v>#N/A</v>
      </c>
      <c r="H11" t="e">
        <f>VLOOKUP(Query1_256[[#This Row],[pcode]],'Rekentool Natuur en landschap'!$A$40:$I$73,8,0)*Query1_256[[#This Row],[totaaloppervlaktepakket]]</f>
        <v>#N/A</v>
      </c>
      <c r="I11" t="e">
        <f>VLOOKUP(Query1_256[[#This Row],[pcode]],'Rekentool Natuur en landschap'!$A$40:$I$73,9,0)*Query1_256[[#This Row],[totaaloppervlaktepakket]]</f>
        <v>#N/A</v>
      </c>
    </row>
    <row r="12" spans="1:9" x14ac:dyDescent="0.25">
      <c r="A12">
        <v>2</v>
      </c>
      <c r="B12" t="s">
        <v>168</v>
      </c>
      <c r="C12" t="s">
        <v>167</v>
      </c>
      <c r="D12">
        <v>0.15240000000000001</v>
      </c>
      <c r="E12">
        <v>1</v>
      </c>
      <c r="F12">
        <v>83.029499999999999</v>
      </c>
      <c r="G12" t="e">
        <f>VLOOKUP(Query1_256[[#This Row],[pcode]],'Rekentool Natuur en landschap'!$A$40:$I$73,7,0)*Query1_256[[#This Row],[totaaloppervlaktepakket]]</f>
        <v>#N/A</v>
      </c>
      <c r="H12" t="e">
        <f>VLOOKUP(Query1_256[[#This Row],[pcode]],'Rekentool Natuur en landschap'!$A$40:$I$73,8,0)*Query1_256[[#This Row],[totaaloppervlaktepakket]]</f>
        <v>#N/A</v>
      </c>
      <c r="I12" t="e">
        <f>VLOOKUP(Query1_256[[#This Row],[pcode]],'Rekentool Natuur en landschap'!$A$40:$I$73,9,0)*Query1_256[[#This Row],[totaaloppervlaktepakket]]</f>
        <v>#N/A</v>
      </c>
    </row>
    <row r="13" spans="1:9" x14ac:dyDescent="0.25">
      <c r="A13">
        <v>2</v>
      </c>
      <c r="B13" t="s">
        <v>90</v>
      </c>
      <c r="C13" t="s">
        <v>240</v>
      </c>
      <c r="D13">
        <v>8.1233E-2</v>
      </c>
      <c r="E13">
        <v>1</v>
      </c>
      <c r="F13">
        <v>83.029499999999999</v>
      </c>
      <c r="G13" t="e">
        <f>VLOOKUP(Query1_256[[#This Row],[pcode]],'Rekentool Natuur en landschap'!$A$40:$I$73,7,0)*Query1_256[[#This Row],[totaaloppervlaktepakket]]</f>
        <v>#N/A</v>
      </c>
      <c r="H13" t="e">
        <f>VLOOKUP(Query1_256[[#This Row],[pcode]],'Rekentool Natuur en landschap'!$A$40:$I$73,8,0)*Query1_256[[#This Row],[totaaloppervlaktepakket]]</f>
        <v>#N/A</v>
      </c>
      <c r="I13" t="e">
        <f>VLOOKUP(Query1_256[[#This Row],[pcode]],'Rekentool Natuur en landschap'!$A$40:$I$73,9,0)*Query1_256[[#This Row],[totaaloppervlaktepakket]]</f>
        <v>#N/A</v>
      </c>
    </row>
    <row r="14" spans="1:9" x14ac:dyDescent="0.25">
      <c r="A14">
        <v>2</v>
      </c>
      <c r="B14" t="s">
        <v>153</v>
      </c>
      <c r="C14" t="s">
        <v>225</v>
      </c>
      <c r="D14">
        <v>2.9999999999999997E-4</v>
      </c>
      <c r="E14">
        <v>1</v>
      </c>
      <c r="F14">
        <v>83.029499999999999</v>
      </c>
      <c r="G14" t="e">
        <f>VLOOKUP(Query1_256[[#This Row],[pcode]],'Rekentool Natuur en landschap'!$A$40:$I$73,7,0)*Query1_256[[#This Row],[totaaloppervlaktepakket]]</f>
        <v>#N/A</v>
      </c>
      <c r="H14" t="e">
        <f>VLOOKUP(Query1_256[[#This Row],[pcode]],'Rekentool Natuur en landschap'!$A$40:$I$73,8,0)*Query1_256[[#This Row],[totaaloppervlaktepakket]]</f>
        <v>#N/A</v>
      </c>
      <c r="I14" t="e">
        <f>VLOOKUP(Query1_256[[#This Row],[pcode]],'Rekentool Natuur en landschap'!$A$40:$I$73,9,0)*Query1_256[[#This Row],[totaaloppervlaktepakket]]</f>
        <v>#N/A</v>
      </c>
    </row>
    <row r="15" spans="1:9" x14ac:dyDescent="0.25">
      <c r="A15">
        <v>2</v>
      </c>
      <c r="B15" t="s">
        <v>109</v>
      </c>
      <c r="C15" t="s">
        <v>207</v>
      </c>
      <c r="D15">
        <v>7.3616999999999999</v>
      </c>
      <c r="E15">
        <v>1</v>
      </c>
      <c r="F15">
        <v>83.029499999999999</v>
      </c>
      <c r="G15" t="e">
        <f>VLOOKUP(Query1_256[[#This Row],[pcode]],'Rekentool Natuur en landschap'!$A$40:$I$73,7,0)*Query1_256[[#This Row],[totaaloppervlaktepakket]]</f>
        <v>#N/A</v>
      </c>
      <c r="H15" t="e">
        <f>VLOOKUP(Query1_256[[#This Row],[pcode]],'Rekentool Natuur en landschap'!$A$40:$I$73,8,0)*Query1_256[[#This Row],[totaaloppervlaktepakket]]</f>
        <v>#N/A</v>
      </c>
      <c r="I15" t="e">
        <f>VLOOKUP(Query1_256[[#This Row],[pcode]],'Rekentool Natuur en landschap'!$A$40:$I$73,9,0)*Query1_256[[#This Row],[totaaloppervlaktepakket]]</f>
        <v>#N/A</v>
      </c>
    </row>
    <row r="16" spans="1:9" x14ac:dyDescent="0.25">
      <c r="A16">
        <v>2</v>
      </c>
      <c r="B16" t="s">
        <v>170</v>
      </c>
      <c r="C16" t="s">
        <v>200</v>
      </c>
      <c r="D16">
        <v>3.0000000000000001E-3</v>
      </c>
      <c r="E16">
        <v>1</v>
      </c>
      <c r="F16">
        <v>83.029499999999999</v>
      </c>
      <c r="G16" t="e">
        <f>VLOOKUP(Query1_256[[#This Row],[pcode]],'Rekentool Natuur en landschap'!$A$40:$I$73,7,0)*Query1_256[[#This Row],[totaaloppervlaktepakket]]</f>
        <v>#N/A</v>
      </c>
      <c r="H16" t="e">
        <f>VLOOKUP(Query1_256[[#This Row],[pcode]],'Rekentool Natuur en landschap'!$A$40:$I$73,8,0)*Query1_256[[#This Row],[totaaloppervlaktepakket]]</f>
        <v>#N/A</v>
      </c>
      <c r="I16" t="e">
        <f>VLOOKUP(Query1_256[[#This Row],[pcode]],'Rekentool Natuur en landschap'!$A$40:$I$73,9,0)*Query1_256[[#This Row],[totaaloppervlaktepakket]]</f>
        <v>#N/A</v>
      </c>
    </row>
    <row r="17" spans="1:9" x14ac:dyDescent="0.25">
      <c r="A17">
        <v>3</v>
      </c>
      <c r="B17" t="s">
        <v>48</v>
      </c>
      <c r="C17" t="s">
        <v>235</v>
      </c>
      <c r="D17">
        <v>3.2951709999999999</v>
      </c>
      <c r="E17">
        <v>0</v>
      </c>
      <c r="F17">
        <v>79.901899999999998</v>
      </c>
      <c r="G17" t="e">
        <f>VLOOKUP(Query1_256[[#This Row],[pcode]],'Rekentool Natuur en landschap'!$A$40:$I$73,7,0)*Query1_256[[#This Row],[totaaloppervlaktepakket]]</f>
        <v>#N/A</v>
      </c>
      <c r="H17" t="e">
        <f>VLOOKUP(Query1_256[[#This Row],[pcode]],'Rekentool Natuur en landschap'!$A$40:$I$73,8,0)*Query1_256[[#This Row],[totaaloppervlaktepakket]]</f>
        <v>#N/A</v>
      </c>
      <c r="I17" t="e">
        <f>VLOOKUP(Query1_256[[#This Row],[pcode]],'Rekentool Natuur en landschap'!$A$40:$I$73,9,0)*Query1_256[[#This Row],[totaaloppervlaktepakket]]</f>
        <v>#N/A</v>
      </c>
    </row>
    <row r="18" spans="1:9" x14ac:dyDescent="0.25">
      <c r="A18">
        <v>3</v>
      </c>
      <c r="B18" t="s">
        <v>204</v>
      </c>
      <c r="C18" t="s">
        <v>237</v>
      </c>
      <c r="D18">
        <v>1.014027</v>
      </c>
      <c r="E18">
        <v>0</v>
      </c>
      <c r="F18">
        <v>79.901899999999998</v>
      </c>
    </row>
    <row r="19" spans="1:9" x14ac:dyDescent="0.25">
      <c r="A19">
        <v>3</v>
      </c>
      <c r="B19" t="s">
        <v>104</v>
      </c>
      <c r="C19" t="s">
        <v>216</v>
      </c>
      <c r="D19">
        <v>3.2951380000000001</v>
      </c>
      <c r="E19">
        <v>0</v>
      </c>
      <c r="F19">
        <v>79.901899999999998</v>
      </c>
      <c r="G19" t="e">
        <f>VLOOKUP(Query1_256[[#This Row],[pcode]],'Rekentool Natuur en landschap'!$A$40:$I$73,7,0)*Query1_256[[#This Row],[totaaloppervlaktepakket]]</f>
        <v>#N/A</v>
      </c>
      <c r="H19" t="e">
        <f>VLOOKUP(Query1_256[[#This Row],[pcode]],'Rekentool Natuur en landschap'!$A$40:$I$73,8,0)*Query1_256[[#This Row],[totaaloppervlaktepakket]]</f>
        <v>#N/A</v>
      </c>
      <c r="I19" t="e">
        <f>VLOOKUP(Query1_256[[#This Row],[pcode]],'Rekentool Natuur en landschap'!$A$40:$I$73,9,0)*Query1_256[[#This Row],[totaaloppervlaktepakket]]</f>
        <v>#N/A</v>
      </c>
    </row>
    <row r="20" spans="1:9" x14ac:dyDescent="0.25">
      <c r="A20">
        <v>3</v>
      </c>
      <c r="B20" t="s">
        <v>68</v>
      </c>
      <c r="C20" t="s">
        <v>67</v>
      </c>
      <c r="D20">
        <v>2.2629999999999999</v>
      </c>
      <c r="E20">
        <v>0</v>
      </c>
      <c r="F20">
        <v>79.901899999999998</v>
      </c>
      <c r="G20" t="e">
        <f>VLOOKUP(Query1_256[[#This Row],[pcode]],'Rekentool Natuur en landschap'!$A$40:$I$73,7,0)*Query1_256[[#This Row],[totaaloppervlaktepakket]]</f>
        <v>#N/A</v>
      </c>
      <c r="H20" t="e">
        <f>VLOOKUP(Query1_256[[#This Row],[pcode]],'Rekentool Natuur en landschap'!$A$40:$I$73,8,0)*Query1_256[[#This Row],[totaaloppervlaktepakket]]</f>
        <v>#N/A</v>
      </c>
      <c r="I20" t="e">
        <f>VLOOKUP(Query1_256[[#This Row],[pcode]],'Rekentool Natuur en landschap'!$A$40:$I$73,9,0)*Query1_256[[#This Row],[totaaloppervlaktepakket]]</f>
        <v>#N/A</v>
      </c>
    </row>
    <row r="21" spans="1:9" x14ac:dyDescent="0.25">
      <c r="A21">
        <v>3</v>
      </c>
      <c r="B21" t="s">
        <v>139</v>
      </c>
      <c r="C21" t="s">
        <v>138</v>
      </c>
      <c r="D21">
        <v>8.72E-2</v>
      </c>
      <c r="E21">
        <v>0</v>
      </c>
      <c r="F21">
        <v>79.901899999999998</v>
      </c>
    </row>
    <row r="22" spans="1:9" x14ac:dyDescent="0.25">
      <c r="A22">
        <v>3</v>
      </c>
      <c r="B22" t="s">
        <v>170</v>
      </c>
      <c r="C22" t="s">
        <v>200</v>
      </c>
      <c r="D22">
        <v>1.4200000000000001E-2</v>
      </c>
      <c r="E22">
        <v>0</v>
      </c>
      <c r="F22">
        <v>79.901899999999998</v>
      </c>
      <c r="G22" t="e">
        <f>VLOOKUP(Query1_256[[#This Row],[pcode]],'Rekentool Natuur en landschap'!$A$40:$I$73,7,0)*Query1_256[[#This Row],[totaaloppervlaktepakket]]</f>
        <v>#N/A</v>
      </c>
      <c r="H22" t="e">
        <f>VLOOKUP(Query1_256[[#This Row],[pcode]],'Rekentool Natuur en landschap'!$A$40:$I$73,8,0)*Query1_256[[#This Row],[totaaloppervlaktepakket]]</f>
        <v>#N/A</v>
      </c>
      <c r="I22" t="e">
        <f>VLOOKUP(Query1_256[[#This Row],[pcode]],'Rekentool Natuur en landschap'!$A$40:$I$73,9,0)*Query1_256[[#This Row],[totaaloppervlaktepakket]]</f>
        <v>#N/A</v>
      </c>
    </row>
    <row r="23" spans="1:9" x14ac:dyDescent="0.25">
      <c r="A23">
        <v>3</v>
      </c>
      <c r="B23" t="s">
        <v>146</v>
      </c>
      <c r="C23" t="s">
        <v>145</v>
      </c>
      <c r="D23">
        <v>0.57310000000000005</v>
      </c>
      <c r="E23">
        <v>0</v>
      </c>
      <c r="F23">
        <v>79.901899999999998</v>
      </c>
      <c r="G23" t="e">
        <f>VLOOKUP(Query1_256[[#This Row],[pcode]],'Rekentool Natuur en landschap'!$A$40:$I$73,7,0)*Query1_256[[#This Row],[totaaloppervlaktepakket]]</f>
        <v>#N/A</v>
      </c>
      <c r="H23" t="e">
        <f>VLOOKUP(Query1_256[[#This Row],[pcode]],'Rekentool Natuur en landschap'!$A$40:$I$73,8,0)*Query1_256[[#This Row],[totaaloppervlaktepakket]]</f>
        <v>#N/A</v>
      </c>
      <c r="I23" t="e">
        <f>VLOOKUP(Query1_256[[#This Row],[pcode]],'Rekentool Natuur en landschap'!$A$40:$I$73,9,0)*Query1_256[[#This Row],[totaaloppervlaktepakket]]</f>
        <v>#N/A</v>
      </c>
    </row>
    <row r="24" spans="1:9" x14ac:dyDescent="0.25">
      <c r="A24">
        <v>3</v>
      </c>
      <c r="B24" t="s">
        <v>148</v>
      </c>
      <c r="C24" t="s">
        <v>208</v>
      </c>
      <c r="D24">
        <v>2.3E-3</v>
      </c>
      <c r="E24">
        <v>0</v>
      </c>
      <c r="F24">
        <v>79.901899999999998</v>
      </c>
      <c r="G24" t="e">
        <f>VLOOKUP(Query1_256[[#This Row],[pcode]],'Rekentool Natuur en landschap'!$A$40:$I$73,7,0)*Query1_256[[#This Row],[totaaloppervlaktepakket]]</f>
        <v>#N/A</v>
      </c>
      <c r="H24" t="e">
        <f>VLOOKUP(Query1_256[[#This Row],[pcode]],'Rekentool Natuur en landschap'!$A$40:$I$73,8,0)*Query1_256[[#This Row],[totaaloppervlaktepakket]]</f>
        <v>#N/A</v>
      </c>
      <c r="I24" t="e">
        <f>VLOOKUP(Query1_256[[#This Row],[pcode]],'Rekentool Natuur en landschap'!$A$40:$I$73,9,0)*Query1_256[[#This Row],[totaaloppervlaktepakket]]</f>
        <v>#N/A</v>
      </c>
    </row>
    <row r="25" spans="1:9" x14ac:dyDescent="0.25">
      <c r="A25">
        <v>3</v>
      </c>
      <c r="B25" t="s">
        <v>153</v>
      </c>
      <c r="C25" t="s">
        <v>225</v>
      </c>
      <c r="D25">
        <v>6.9999999999999999E-4</v>
      </c>
      <c r="E25">
        <v>0</v>
      </c>
      <c r="F25">
        <v>79.901899999999998</v>
      </c>
      <c r="G25" t="e">
        <f>VLOOKUP(Query1_256[[#This Row],[pcode]],'Rekentool Natuur en landschap'!$A$40:$I$73,7,0)*Query1_256[[#This Row],[totaaloppervlaktepakket]]</f>
        <v>#N/A</v>
      </c>
      <c r="H25" t="e">
        <f>VLOOKUP(Query1_256[[#This Row],[pcode]],'Rekentool Natuur en landschap'!$A$40:$I$73,8,0)*Query1_256[[#This Row],[totaaloppervlaktepakket]]</f>
        <v>#N/A</v>
      </c>
      <c r="I25" t="e">
        <f>VLOOKUP(Query1_256[[#This Row],[pcode]],'Rekentool Natuur en landschap'!$A$40:$I$73,9,0)*Query1_256[[#This Row],[totaaloppervlaktepakket]]</f>
        <v>#N/A</v>
      </c>
    </row>
    <row r="26" spans="1:9" x14ac:dyDescent="0.25">
      <c r="A26">
        <v>4</v>
      </c>
      <c r="B26" t="s">
        <v>34</v>
      </c>
      <c r="C26" t="s">
        <v>241</v>
      </c>
      <c r="D26">
        <v>3.1677</v>
      </c>
      <c r="E26">
        <v>0</v>
      </c>
      <c r="F26">
        <v>58.893099999999997</v>
      </c>
    </row>
    <row r="27" spans="1:9" x14ac:dyDescent="0.25">
      <c r="A27">
        <v>4</v>
      </c>
      <c r="B27" t="s">
        <v>136</v>
      </c>
      <c r="C27" t="s">
        <v>135</v>
      </c>
      <c r="D27">
        <v>1.6480999999999999</v>
      </c>
      <c r="E27">
        <v>0</v>
      </c>
      <c r="F27">
        <v>58.893099999999997</v>
      </c>
      <c r="G27" t="e">
        <f>VLOOKUP(Query1_256[[#This Row],[pcode]],'Rekentool Natuur en landschap'!$A$40:$I$73,7,0)*Query1_256[[#This Row],[totaaloppervlaktepakket]]</f>
        <v>#N/A</v>
      </c>
      <c r="H27" t="e">
        <f>VLOOKUP(Query1_256[[#This Row],[pcode]],'Rekentool Natuur en landschap'!$A$40:$I$73,8,0)*Query1_256[[#This Row],[totaaloppervlaktepakket]]</f>
        <v>#N/A</v>
      </c>
      <c r="I27" t="e">
        <f>VLOOKUP(Query1_256[[#This Row],[pcode]],'Rekentool Natuur en landschap'!$A$40:$I$73,9,0)*Query1_256[[#This Row],[totaaloppervlaktepakket]]</f>
        <v>#N/A</v>
      </c>
    </row>
    <row r="28" spans="1:9" x14ac:dyDescent="0.25">
      <c r="A28">
        <v>4</v>
      </c>
      <c r="B28" t="s">
        <v>139</v>
      </c>
      <c r="C28" t="s">
        <v>138</v>
      </c>
      <c r="D28">
        <v>0.17280000000000001</v>
      </c>
      <c r="E28">
        <v>0</v>
      </c>
      <c r="F28">
        <v>58.893099999999997</v>
      </c>
    </row>
    <row r="29" spans="1:9" x14ac:dyDescent="0.25">
      <c r="A29">
        <v>4</v>
      </c>
      <c r="B29" t="s">
        <v>146</v>
      </c>
      <c r="C29" t="s">
        <v>145</v>
      </c>
      <c r="D29">
        <v>0.1903</v>
      </c>
      <c r="E29">
        <v>0</v>
      </c>
      <c r="F29">
        <v>58.893099999999997</v>
      </c>
      <c r="G29" t="e">
        <f>VLOOKUP(Query1_256[[#This Row],[pcode]],'Rekentool Natuur en landschap'!$A$40:$I$73,7,0)*Query1_256[[#This Row],[totaaloppervlaktepakket]]</f>
        <v>#N/A</v>
      </c>
      <c r="H29" t="e">
        <f>VLOOKUP(Query1_256[[#This Row],[pcode]],'Rekentool Natuur en landschap'!$A$40:$I$73,8,0)*Query1_256[[#This Row],[totaaloppervlaktepakket]]</f>
        <v>#N/A</v>
      </c>
      <c r="I29" t="e">
        <f>VLOOKUP(Query1_256[[#This Row],[pcode]],'Rekentool Natuur en landschap'!$A$40:$I$73,9,0)*Query1_256[[#This Row],[totaaloppervlaktepakket]]</f>
        <v>#N/A</v>
      </c>
    </row>
    <row r="30" spans="1:9" x14ac:dyDescent="0.25">
      <c r="A30">
        <v>4</v>
      </c>
      <c r="B30" t="s">
        <v>168</v>
      </c>
      <c r="C30" t="s">
        <v>167</v>
      </c>
      <c r="D30">
        <v>0.37359999999999999</v>
      </c>
      <c r="E30">
        <v>0</v>
      </c>
      <c r="F30">
        <v>58.893099999999997</v>
      </c>
      <c r="G30" t="e">
        <f>VLOOKUP(Query1_256[[#This Row],[pcode]],'Rekentool Natuur en landschap'!$A$40:$I$73,7,0)*Query1_256[[#This Row],[totaaloppervlaktepakket]]</f>
        <v>#N/A</v>
      </c>
      <c r="H30" t="e">
        <f>VLOOKUP(Query1_256[[#This Row],[pcode]],'Rekentool Natuur en landschap'!$A$40:$I$73,8,0)*Query1_256[[#This Row],[totaaloppervlaktepakket]]</f>
        <v>#N/A</v>
      </c>
      <c r="I30" t="e">
        <f>VLOOKUP(Query1_256[[#This Row],[pcode]],'Rekentool Natuur en landschap'!$A$40:$I$73,9,0)*Query1_256[[#This Row],[totaaloppervlaktepakket]]</f>
        <v>#N/A</v>
      </c>
    </row>
    <row r="31" spans="1:9" x14ac:dyDescent="0.25">
      <c r="A31">
        <v>4</v>
      </c>
      <c r="B31" t="s">
        <v>153</v>
      </c>
      <c r="C31" t="s">
        <v>225</v>
      </c>
      <c r="D31">
        <v>1E-4</v>
      </c>
      <c r="E31">
        <v>0</v>
      </c>
      <c r="F31">
        <v>58.893099999999997</v>
      </c>
      <c r="G31" t="e">
        <f>VLOOKUP(Query1_256[[#This Row],[pcode]],'Rekentool Natuur en landschap'!$A$40:$I$73,7,0)*Query1_256[[#This Row],[totaaloppervlaktepakket]]</f>
        <v>#N/A</v>
      </c>
      <c r="H31" t="e">
        <f>VLOOKUP(Query1_256[[#This Row],[pcode]],'Rekentool Natuur en landschap'!$A$40:$I$73,8,0)*Query1_256[[#This Row],[totaaloppervlaktepakket]]</f>
        <v>#N/A</v>
      </c>
      <c r="I31" t="e">
        <f>VLOOKUP(Query1_256[[#This Row],[pcode]],'Rekentool Natuur en landschap'!$A$40:$I$73,9,0)*Query1_256[[#This Row],[totaaloppervlaktepakket]]</f>
        <v>#N/A</v>
      </c>
    </row>
    <row r="32" spans="1:9" x14ac:dyDescent="0.25">
      <c r="A32">
        <v>4</v>
      </c>
      <c r="B32" t="s">
        <v>170</v>
      </c>
      <c r="C32" t="s">
        <v>200</v>
      </c>
      <c r="D32">
        <v>2.7000000000000001E-3</v>
      </c>
      <c r="E32">
        <v>0</v>
      </c>
      <c r="F32">
        <v>58.893099999999997</v>
      </c>
      <c r="G32" t="e">
        <f>VLOOKUP(Query1_256[[#This Row],[pcode]],'Rekentool Natuur en landschap'!$A$40:$I$73,7,0)*Query1_256[[#This Row],[totaaloppervlaktepakket]]</f>
        <v>#N/A</v>
      </c>
      <c r="H32" t="e">
        <f>VLOOKUP(Query1_256[[#This Row],[pcode]],'Rekentool Natuur en landschap'!$A$40:$I$73,8,0)*Query1_256[[#This Row],[totaaloppervlaktepakket]]</f>
        <v>#N/A</v>
      </c>
      <c r="I32" t="e">
        <f>VLOOKUP(Query1_256[[#This Row],[pcode]],'Rekentool Natuur en landschap'!$A$40:$I$73,9,0)*Query1_256[[#This Row],[totaaloppervlaktepakket]]</f>
        <v>#N/A</v>
      </c>
    </row>
    <row r="33" spans="1:9" x14ac:dyDescent="0.25">
      <c r="A33">
        <v>5</v>
      </c>
      <c r="B33" t="s">
        <v>48</v>
      </c>
      <c r="C33" t="s">
        <v>235</v>
      </c>
      <c r="D33">
        <v>6.5934900000000001</v>
      </c>
      <c r="E33">
        <v>0</v>
      </c>
      <c r="F33">
        <v>65.807400000000001</v>
      </c>
      <c r="G33" t="e">
        <f>VLOOKUP(Query1_256[[#This Row],[pcode]],'Rekentool Natuur en landschap'!$A$40:$I$73,7,0)*Query1_256[[#This Row],[totaaloppervlaktepakket]]</f>
        <v>#N/A</v>
      </c>
      <c r="H33" t="e">
        <f>VLOOKUP(Query1_256[[#This Row],[pcode]],'Rekentool Natuur en landschap'!$A$40:$I$73,8,0)*Query1_256[[#This Row],[totaaloppervlaktepakket]]</f>
        <v>#N/A</v>
      </c>
      <c r="I33" t="e">
        <f>VLOOKUP(Query1_256[[#This Row],[pcode]],'Rekentool Natuur en landschap'!$A$40:$I$73,9,0)*Query1_256[[#This Row],[totaaloppervlaktepakket]]</f>
        <v>#N/A</v>
      </c>
    </row>
    <row r="34" spans="1:9" x14ac:dyDescent="0.25">
      <c r="A34">
        <v>5</v>
      </c>
      <c r="B34" t="s">
        <v>58</v>
      </c>
      <c r="C34" t="s">
        <v>242</v>
      </c>
      <c r="D34">
        <v>0.32290200000000002</v>
      </c>
      <c r="E34">
        <v>0</v>
      </c>
      <c r="F34">
        <v>65.807400000000001</v>
      </c>
      <c r="G34" t="e">
        <f>VLOOKUP(Query1_256[[#This Row],[pcode]],'Rekentool Natuur en landschap'!$A$40:$I$73,7,0)*Query1_256[[#This Row],[totaaloppervlaktepakket]]</f>
        <v>#N/A</v>
      </c>
      <c r="H34" t="e">
        <f>VLOOKUP(Query1_256[[#This Row],[pcode]],'Rekentool Natuur en landschap'!$A$40:$I$73,8,0)*Query1_256[[#This Row],[totaaloppervlaktepakket]]</f>
        <v>#N/A</v>
      </c>
      <c r="I34" t="e">
        <f>VLOOKUP(Query1_256[[#This Row],[pcode]],'Rekentool Natuur en landschap'!$A$40:$I$73,9,0)*Query1_256[[#This Row],[totaaloppervlaktepakket]]</f>
        <v>#N/A</v>
      </c>
    </row>
    <row r="35" spans="1:9" x14ac:dyDescent="0.25">
      <c r="A35">
        <v>5</v>
      </c>
      <c r="B35" t="s">
        <v>62</v>
      </c>
      <c r="C35" t="s">
        <v>236</v>
      </c>
      <c r="D35">
        <v>27.077839000000001</v>
      </c>
      <c r="E35">
        <v>0</v>
      </c>
      <c r="F35">
        <v>65.807400000000001</v>
      </c>
      <c r="G35" t="e">
        <f>VLOOKUP(Query1_256[[#This Row],[pcode]],'Rekentool Natuur en landschap'!$A$40:$I$73,7,0)*Query1_256[[#This Row],[totaaloppervlaktepakket]]</f>
        <v>#N/A</v>
      </c>
      <c r="H35" t="e">
        <f>VLOOKUP(Query1_256[[#This Row],[pcode]],'Rekentool Natuur en landschap'!$A$40:$I$73,8,0)*Query1_256[[#This Row],[totaaloppervlaktepakket]]</f>
        <v>#N/A</v>
      </c>
      <c r="I35" t="e">
        <f>VLOOKUP(Query1_256[[#This Row],[pcode]],'Rekentool Natuur en landschap'!$A$40:$I$73,9,0)*Query1_256[[#This Row],[totaaloppervlaktepakket]]</f>
        <v>#N/A</v>
      </c>
    </row>
    <row r="36" spans="1:9" x14ac:dyDescent="0.25">
      <c r="A36">
        <v>5</v>
      </c>
      <c r="B36" t="s">
        <v>204</v>
      </c>
      <c r="C36" t="s">
        <v>237</v>
      </c>
      <c r="D36">
        <v>7.702763</v>
      </c>
      <c r="E36">
        <v>0</v>
      </c>
      <c r="F36">
        <v>65.807400000000001</v>
      </c>
    </row>
    <row r="37" spans="1:9" x14ac:dyDescent="0.25">
      <c r="A37">
        <v>5</v>
      </c>
      <c r="B37" t="s">
        <v>104</v>
      </c>
      <c r="C37" t="s">
        <v>216</v>
      </c>
      <c r="D37">
        <v>18.587437999999999</v>
      </c>
      <c r="E37">
        <v>0</v>
      </c>
      <c r="F37">
        <v>65.807400000000001</v>
      </c>
      <c r="G37" t="e">
        <f>VLOOKUP(Query1_256[[#This Row],[pcode]],'Rekentool Natuur en landschap'!$A$40:$I$73,7,0)*Query1_256[[#This Row],[totaaloppervlaktepakket]]</f>
        <v>#N/A</v>
      </c>
      <c r="H37" t="e">
        <f>VLOOKUP(Query1_256[[#This Row],[pcode]],'Rekentool Natuur en landschap'!$A$40:$I$73,8,0)*Query1_256[[#This Row],[totaaloppervlaktepakket]]</f>
        <v>#N/A</v>
      </c>
      <c r="I37" t="e">
        <f>VLOOKUP(Query1_256[[#This Row],[pcode]],'Rekentool Natuur en landschap'!$A$40:$I$73,9,0)*Query1_256[[#This Row],[totaaloppervlaktepakket]]</f>
        <v>#N/A</v>
      </c>
    </row>
    <row r="38" spans="1:9" x14ac:dyDescent="0.25">
      <c r="A38">
        <v>5</v>
      </c>
      <c r="B38" t="s">
        <v>204</v>
      </c>
      <c r="C38" t="s">
        <v>239</v>
      </c>
      <c r="D38">
        <v>3.3354119999999998</v>
      </c>
      <c r="E38">
        <v>0</v>
      </c>
      <c r="F38">
        <v>65.807400000000001</v>
      </c>
    </row>
    <row r="39" spans="1:9" x14ac:dyDescent="0.25">
      <c r="A39">
        <v>5</v>
      </c>
      <c r="B39" t="s">
        <v>139</v>
      </c>
      <c r="C39" t="s">
        <v>243</v>
      </c>
      <c r="D39">
        <v>0.43581300000000001</v>
      </c>
      <c r="E39">
        <v>0</v>
      </c>
      <c r="F39">
        <v>65.807400000000001</v>
      </c>
    </row>
    <row r="40" spans="1:9" x14ac:dyDescent="0.25">
      <c r="A40">
        <v>5</v>
      </c>
      <c r="B40" t="s">
        <v>62</v>
      </c>
      <c r="C40" t="s">
        <v>198</v>
      </c>
      <c r="D40">
        <v>23.463200000000001</v>
      </c>
      <c r="E40">
        <v>0</v>
      </c>
      <c r="F40">
        <v>65.807400000000001</v>
      </c>
      <c r="G40" t="e">
        <f>VLOOKUP(Query1_256[[#This Row],[pcode]],'Rekentool Natuur en landschap'!$A$40:$I$73,7,0)*Query1_256[[#This Row],[totaaloppervlaktepakket]]</f>
        <v>#N/A</v>
      </c>
      <c r="H40" t="e">
        <f>VLOOKUP(Query1_256[[#This Row],[pcode]],'Rekentool Natuur en landschap'!$A$40:$I$73,8,0)*Query1_256[[#This Row],[totaaloppervlaktepakket]]</f>
        <v>#N/A</v>
      </c>
      <c r="I40" t="e">
        <f>VLOOKUP(Query1_256[[#This Row],[pcode]],'Rekentool Natuur en landschap'!$A$40:$I$73,9,0)*Query1_256[[#This Row],[totaaloppervlaktepakket]]</f>
        <v>#N/A</v>
      </c>
    </row>
    <row r="41" spans="1:9" x14ac:dyDescent="0.25">
      <c r="A41">
        <v>5</v>
      </c>
      <c r="B41" t="s">
        <v>162</v>
      </c>
      <c r="C41" t="s">
        <v>161</v>
      </c>
      <c r="D41">
        <v>3.3000000000000002E-2</v>
      </c>
      <c r="E41">
        <v>0</v>
      </c>
      <c r="F41">
        <v>65.807400000000001</v>
      </c>
      <c r="G41" t="e">
        <f>VLOOKUP(Query1_256[[#This Row],[pcode]],'Rekentool Natuur en landschap'!$A$40:$I$73,7,0)*Query1_256[[#This Row],[totaaloppervlaktepakket]]</f>
        <v>#N/A</v>
      </c>
      <c r="H41" t="e">
        <f>VLOOKUP(Query1_256[[#This Row],[pcode]],'Rekentool Natuur en landschap'!$A$40:$I$73,8,0)*Query1_256[[#This Row],[totaaloppervlaktepakket]]</f>
        <v>#N/A</v>
      </c>
      <c r="I41" t="e">
        <f>VLOOKUP(Query1_256[[#This Row],[pcode]],'Rekentool Natuur en landschap'!$A$40:$I$73,9,0)*Query1_256[[#This Row],[totaaloppervlaktepakket]]</f>
        <v>#N/A</v>
      </c>
    </row>
    <row r="42" spans="1:9" x14ac:dyDescent="0.25">
      <c r="A42">
        <v>5</v>
      </c>
      <c r="B42" t="s">
        <v>170</v>
      </c>
      <c r="C42" t="s">
        <v>200</v>
      </c>
      <c r="D42">
        <v>1</v>
      </c>
      <c r="E42">
        <v>0</v>
      </c>
      <c r="F42">
        <v>65.807400000000001</v>
      </c>
      <c r="G42" t="e">
        <f>VLOOKUP(Query1_256[[#This Row],[pcode]],'Rekentool Natuur en landschap'!$A$40:$I$73,7,0)*Query1_256[[#This Row],[totaaloppervlaktepakket]]</f>
        <v>#N/A</v>
      </c>
      <c r="H42" t="e">
        <f>VLOOKUP(Query1_256[[#This Row],[pcode]],'Rekentool Natuur en landschap'!$A$40:$I$73,8,0)*Query1_256[[#This Row],[totaaloppervlaktepakket]]</f>
        <v>#N/A</v>
      </c>
      <c r="I42" t="e">
        <f>VLOOKUP(Query1_256[[#This Row],[pcode]],'Rekentool Natuur en landschap'!$A$40:$I$73,9,0)*Query1_256[[#This Row],[totaaloppervlaktepakket]]</f>
        <v>#N/A</v>
      </c>
    </row>
    <row r="43" spans="1:9" x14ac:dyDescent="0.25">
      <c r="A43">
        <v>5</v>
      </c>
      <c r="B43" t="s">
        <v>177</v>
      </c>
      <c r="C43" t="s">
        <v>223</v>
      </c>
      <c r="D43">
        <v>1</v>
      </c>
      <c r="E43">
        <v>0</v>
      </c>
      <c r="F43">
        <v>65.807400000000001</v>
      </c>
      <c r="G43" t="e">
        <f>VLOOKUP(Query1_256[[#This Row],[pcode]],'Rekentool Natuur en landschap'!$A$40:$I$73,7,0)*Query1_256[[#This Row],[totaaloppervlaktepakket]]</f>
        <v>#N/A</v>
      </c>
      <c r="H43" t="e">
        <f>VLOOKUP(Query1_256[[#This Row],[pcode]],'Rekentool Natuur en landschap'!$A$40:$I$73,8,0)*Query1_256[[#This Row],[totaaloppervlaktepakket]]</f>
        <v>#N/A</v>
      </c>
      <c r="I43" t="e">
        <f>VLOOKUP(Query1_256[[#This Row],[pcode]],'Rekentool Natuur en landschap'!$A$40:$I$73,9,0)*Query1_256[[#This Row],[totaaloppervlaktepakket]]</f>
        <v>#N/A</v>
      </c>
    </row>
    <row r="44" spans="1:9" x14ac:dyDescent="0.25">
      <c r="A44">
        <v>5</v>
      </c>
      <c r="B44" t="s">
        <v>100</v>
      </c>
      <c r="C44" t="s">
        <v>244</v>
      </c>
      <c r="D44">
        <v>1.1429100000000001</v>
      </c>
      <c r="E44">
        <v>0</v>
      </c>
      <c r="F44">
        <v>65.807400000000001</v>
      </c>
      <c r="G44" t="e">
        <f>VLOOKUP(Query1_256[[#This Row],[pcode]],'Rekentool Natuur en landschap'!$A$40:$I$73,7,0)*Query1_256[[#This Row],[totaaloppervlaktepakket]]</f>
        <v>#N/A</v>
      </c>
      <c r="H44" t="e">
        <f>VLOOKUP(Query1_256[[#This Row],[pcode]],'Rekentool Natuur en landschap'!$A$40:$I$73,8,0)*Query1_256[[#This Row],[totaaloppervlaktepakket]]</f>
        <v>#N/A</v>
      </c>
      <c r="I44" t="e">
        <f>VLOOKUP(Query1_256[[#This Row],[pcode]],'Rekentool Natuur en landschap'!$A$40:$I$73,9,0)*Query1_256[[#This Row],[totaaloppervlaktepakket]]</f>
        <v>#N/A</v>
      </c>
    </row>
    <row r="45" spans="1:9" x14ac:dyDescent="0.25">
      <c r="A45">
        <v>5</v>
      </c>
      <c r="B45" t="s">
        <v>146</v>
      </c>
      <c r="C45" t="s">
        <v>245</v>
      </c>
      <c r="D45">
        <v>4.9883999999999998E-2</v>
      </c>
      <c r="E45">
        <v>0</v>
      </c>
      <c r="F45">
        <v>65.807400000000001</v>
      </c>
      <c r="G45" t="e">
        <f>VLOOKUP(Query1_256[[#This Row],[pcode]],'Rekentool Natuur en landschap'!$A$40:$I$73,7,0)*Query1_256[[#This Row],[totaaloppervlaktepakket]]</f>
        <v>#N/A</v>
      </c>
      <c r="H45" t="e">
        <f>VLOOKUP(Query1_256[[#This Row],[pcode]],'Rekentool Natuur en landschap'!$A$40:$I$73,8,0)*Query1_256[[#This Row],[totaaloppervlaktepakket]]</f>
        <v>#N/A</v>
      </c>
      <c r="I45" t="e">
        <f>VLOOKUP(Query1_256[[#This Row],[pcode]],'Rekentool Natuur en landschap'!$A$40:$I$73,9,0)*Query1_256[[#This Row],[totaaloppervlaktepakket]]</f>
        <v>#N/A</v>
      </c>
    </row>
    <row r="46" spans="1:9" x14ac:dyDescent="0.25">
      <c r="A46">
        <v>5</v>
      </c>
      <c r="B46" t="s">
        <v>153</v>
      </c>
      <c r="C46" t="s">
        <v>246</v>
      </c>
      <c r="D46">
        <v>6.1226000000000003E-2</v>
      </c>
      <c r="E46">
        <v>0</v>
      </c>
      <c r="F46">
        <v>65.807400000000001</v>
      </c>
      <c r="G46" t="e">
        <f>VLOOKUP(Query1_256[[#This Row],[pcode]],'Rekentool Natuur en landschap'!$A$40:$I$73,7,0)*Query1_256[[#This Row],[totaaloppervlaktepakket]]</f>
        <v>#N/A</v>
      </c>
      <c r="H46" t="e">
        <f>VLOOKUP(Query1_256[[#This Row],[pcode]],'Rekentool Natuur en landschap'!$A$40:$I$73,8,0)*Query1_256[[#This Row],[totaaloppervlaktepakket]]</f>
        <v>#N/A</v>
      </c>
      <c r="I46" t="e">
        <f>VLOOKUP(Query1_256[[#This Row],[pcode]],'Rekentool Natuur en landschap'!$A$40:$I$73,9,0)*Query1_256[[#This Row],[totaaloppervlaktepakket]]</f>
        <v>#N/A</v>
      </c>
    </row>
    <row r="47" spans="1:9" x14ac:dyDescent="0.25">
      <c r="A47">
        <v>6</v>
      </c>
      <c r="B47" t="s">
        <v>48</v>
      </c>
      <c r="C47" t="s">
        <v>235</v>
      </c>
      <c r="D47">
        <v>8.6448990000000006</v>
      </c>
      <c r="E47">
        <v>0</v>
      </c>
      <c r="F47">
        <v>57.034199999999998</v>
      </c>
      <c r="G47" t="e">
        <f>VLOOKUP(Query1_256[[#This Row],[pcode]],'Rekentool Natuur en landschap'!$A$40:$I$73,7,0)*Query1_256[[#This Row],[totaaloppervlaktepakket]]</f>
        <v>#N/A</v>
      </c>
      <c r="H47" t="e">
        <f>VLOOKUP(Query1_256[[#This Row],[pcode]],'Rekentool Natuur en landschap'!$A$40:$I$73,8,0)*Query1_256[[#This Row],[totaaloppervlaktepakket]]</f>
        <v>#N/A</v>
      </c>
      <c r="I47" t="e">
        <f>VLOOKUP(Query1_256[[#This Row],[pcode]],'Rekentool Natuur en landschap'!$A$40:$I$73,9,0)*Query1_256[[#This Row],[totaaloppervlaktepakket]]</f>
        <v>#N/A</v>
      </c>
    </row>
    <row r="48" spans="1:9" x14ac:dyDescent="0.25">
      <c r="A48">
        <v>6</v>
      </c>
      <c r="B48" t="s">
        <v>58</v>
      </c>
      <c r="C48" t="s">
        <v>242</v>
      </c>
      <c r="D48">
        <v>0.45857500000000001</v>
      </c>
      <c r="E48">
        <v>0</v>
      </c>
      <c r="F48">
        <v>57.034199999999998</v>
      </c>
      <c r="G48" t="e">
        <f>VLOOKUP(Query1_256[[#This Row],[pcode]],'Rekentool Natuur en landschap'!$A$40:$I$73,7,0)*Query1_256[[#This Row],[totaaloppervlaktepakket]]</f>
        <v>#N/A</v>
      </c>
      <c r="H48" t="e">
        <f>VLOOKUP(Query1_256[[#This Row],[pcode]],'Rekentool Natuur en landschap'!$A$40:$I$73,8,0)*Query1_256[[#This Row],[totaaloppervlaktepakket]]</f>
        <v>#N/A</v>
      </c>
      <c r="I48" t="e">
        <f>VLOOKUP(Query1_256[[#This Row],[pcode]],'Rekentool Natuur en landschap'!$A$40:$I$73,9,0)*Query1_256[[#This Row],[totaaloppervlaktepakket]]</f>
        <v>#N/A</v>
      </c>
    </row>
    <row r="49" spans="1:9" x14ac:dyDescent="0.25">
      <c r="A49">
        <v>6</v>
      </c>
      <c r="B49" t="s">
        <v>62</v>
      </c>
      <c r="C49" t="s">
        <v>236</v>
      </c>
      <c r="D49">
        <v>33.426977999999998</v>
      </c>
      <c r="E49">
        <v>0</v>
      </c>
      <c r="F49">
        <v>57.034199999999998</v>
      </c>
      <c r="G49" t="e">
        <f>VLOOKUP(Query1_256[[#This Row],[pcode]],'Rekentool Natuur en landschap'!$A$40:$I$73,7,0)*Query1_256[[#This Row],[totaaloppervlaktepakket]]</f>
        <v>#N/A</v>
      </c>
      <c r="H49" t="e">
        <f>VLOOKUP(Query1_256[[#This Row],[pcode]],'Rekentool Natuur en landschap'!$A$40:$I$73,8,0)*Query1_256[[#This Row],[totaaloppervlaktepakket]]</f>
        <v>#N/A</v>
      </c>
      <c r="I49" t="e">
        <f>VLOOKUP(Query1_256[[#This Row],[pcode]],'Rekentool Natuur en landschap'!$A$40:$I$73,9,0)*Query1_256[[#This Row],[totaaloppervlaktepakket]]</f>
        <v>#N/A</v>
      </c>
    </row>
    <row r="50" spans="1:9" x14ac:dyDescent="0.25">
      <c r="A50">
        <v>6</v>
      </c>
      <c r="B50" t="s">
        <v>204</v>
      </c>
      <c r="C50" t="s">
        <v>237</v>
      </c>
      <c r="D50">
        <v>4.4764099999999996</v>
      </c>
      <c r="E50">
        <v>0</v>
      </c>
      <c r="F50">
        <v>57.034199999999998</v>
      </c>
    </row>
    <row r="51" spans="1:9" x14ac:dyDescent="0.25">
      <c r="A51">
        <v>6</v>
      </c>
      <c r="B51" t="s">
        <v>104</v>
      </c>
      <c r="C51" t="s">
        <v>216</v>
      </c>
      <c r="D51">
        <v>7.1833289999999996</v>
      </c>
      <c r="E51">
        <v>0</v>
      </c>
      <c r="F51">
        <v>57.034199999999998</v>
      </c>
      <c r="G51" t="e">
        <f>VLOOKUP(Query1_256[[#This Row],[pcode]],'Rekentool Natuur en landschap'!$A$40:$I$73,7,0)*Query1_256[[#This Row],[totaaloppervlaktepakket]]</f>
        <v>#N/A</v>
      </c>
      <c r="H51" t="e">
        <f>VLOOKUP(Query1_256[[#This Row],[pcode]],'Rekentool Natuur en landschap'!$A$40:$I$73,8,0)*Query1_256[[#This Row],[totaaloppervlaktepakket]]</f>
        <v>#N/A</v>
      </c>
      <c r="I51" t="e">
        <f>VLOOKUP(Query1_256[[#This Row],[pcode]],'Rekentool Natuur en landschap'!$A$40:$I$73,9,0)*Query1_256[[#This Row],[totaaloppervlaktepakket]]</f>
        <v>#N/A</v>
      </c>
    </row>
    <row r="52" spans="1:9" x14ac:dyDescent="0.25">
      <c r="A52">
        <v>6</v>
      </c>
      <c r="B52" t="s">
        <v>204</v>
      </c>
      <c r="C52" t="s">
        <v>239</v>
      </c>
      <c r="D52">
        <v>1.300117</v>
      </c>
      <c r="E52">
        <v>0</v>
      </c>
      <c r="F52">
        <v>57.034199999999998</v>
      </c>
    </row>
    <row r="53" spans="1:9" x14ac:dyDescent="0.25">
      <c r="A53">
        <v>6</v>
      </c>
      <c r="B53" t="s">
        <v>48</v>
      </c>
      <c r="C53" t="s">
        <v>197</v>
      </c>
      <c r="D53">
        <v>1.7192000000000001</v>
      </c>
      <c r="E53">
        <v>0</v>
      </c>
      <c r="F53">
        <v>57.034199999999998</v>
      </c>
      <c r="G53" t="e">
        <f>VLOOKUP(Query1_256[[#This Row],[pcode]],'Rekentool Natuur en landschap'!$A$40:$I$73,7,0)*Query1_256[[#This Row],[totaaloppervlaktepakket]]</f>
        <v>#N/A</v>
      </c>
      <c r="H53" t="e">
        <f>VLOOKUP(Query1_256[[#This Row],[pcode]],'Rekentool Natuur en landschap'!$A$40:$I$73,8,0)*Query1_256[[#This Row],[totaaloppervlaktepakket]]</f>
        <v>#N/A</v>
      </c>
      <c r="I53" t="e">
        <f>VLOOKUP(Query1_256[[#This Row],[pcode]],'Rekentool Natuur en landschap'!$A$40:$I$73,9,0)*Query1_256[[#This Row],[totaaloppervlaktepakket]]</f>
        <v>#N/A</v>
      </c>
    </row>
    <row r="54" spans="1:9" x14ac:dyDescent="0.25">
      <c r="A54">
        <v>6</v>
      </c>
      <c r="B54" t="s">
        <v>146</v>
      </c>
      <c r="C54" t="s">
        <v>145</v>
      </c>
      <c r="D54">
        <v>3.7900000000000003E-2</v>
      </c>
      <c r="E54">
        <v>0</v>
      </c>
      <c r="F54">
        <v>57.034199999999998</v>
      </c>
      <c r="G54" t="e">
        <f>VLOOKUP(Query1_256[[#This Row],[pcode]],'Rekentool Natuur en landschap'!$A$40:$I$73,7,0)*Query1_256[[#This Row],[totaaloppervlaktepakket]]</f>
        <v>#N/A</v>
      </c>
      <c r="H54" t="e">
        <f>VLOOKUP(Query1_256[[#This Row],[pcode]],'Rekentool Natuur en landschap'!$A$40:$I$73,8,0)*Query1_256[[#This Row],[totaaloppervlaktepakket]]</f>
        <v>#N/A</v>
      </c>
      <c r="I54" t="e">
        <f>VLOOKUP(Query1_256[[#This Row],[pcode]],'Rekentool Natuur en landschap'!$A$40:$I$73,9,0)*Query1_256[[#This Row],[totaaloppervlaktepakket]]</f>
        <v>#N/A</v>
      </c>
    </row>
    <row r="55" spans="1:9" x14ac:dyDescent="0.25">
      <c r="A55">
        <v>6</v>
      </c>
      <c r="B55" t="s">
        <v>100</v>
      </c>
      <c r="C55" t="s">
        <v>244</v>
      </c>
      <c r="D55">
        <v>0.42265200000000003</v>
      </c>
      <c r="E55">
        <v>0</v>
      </c>
      <c r="F55">
        <v>57.034199999999998</v>
      </c>
      <c r="G55" t="e">
        <f>VLOOKUP(Query1_256[[#This Row],[pcode]],'Rekentool Natuur en landschap'!$A$40:$I$73,7,0)*Query1_256[[#This Row],[totaaloppervlaktepakket]]</f>
        <v>#N/A</v>
      </c>
      <c r="H55" t="e">
        <f>VLOOKUP(Query1_256[[#This Row],[pcode]],'Rekentool Natuur en landschap'!$A$40:$I$73,8,0)*Query1_256[[#This Row],[totaaloppervlaktepakket]]</f>
        <v>#N/A</v>
      </c>
      <c r="I55" t="e">
        <f>VLOOKUP(Query1_256[[#This Row],[pcode]],'Rekentool Natuur en landschap'!$A$40:$I$73,9,0)*Query1_256[[#This Row],[totaaloppervlaktepakket]]</f>
        <v>#N/A</v>
      </c>
    </row>
    <row r="56" spans="1:9" x14ac:dyDescent="0.25">
      <c r="A56">
        <v>6</v>
      </c>
      <c r="B56" t="s">
        <v>156</v>
      </c>
      <c r="C56" t="s">
        <v>155</v>
      </c>
      <c r="D56">
        <v>7.0000000000000001E-3</v>
      </c>
      <c r="E56">
        <v>0</v>
      </c>
      <c r="F56">
        <v>57.034199999999998</v>
      </c>
      <c r="G56" t="e">
        <f>VLOOKUP(Query1_256[[#This Row],[pcode]],'Rekentool Natuur en landschap'!$A$40:$I$73,7,0)*Query1_256[[#This Row],[totaaloppervlaktepakket]]</f>
        <v>#N/A</v>
      </c>
      <c r="H56" t="e">
        <f>VLOOKUP(Query1_256[[#This Row],[pcode]],'Rekentool Natuur en landschap'!$A$40:$I$73,8,0)*Query1_256[[#This Row],[totaaloppervlaktepakket]]</f>
        <v>#N/A</v>
      </c>
      <c r="I56" t="e">
        <f>VLOOKUP(Query1_256[[#This Row],[pcode]],'Rekentool Natuur en landschap'!$A$40:$I$73,9,0)*Query1_256[[#This Row],[totaaloppervlaktepakket]]</f>
        <v>#N/A</v>
      </c>
    </row>
    <row r="57" spans="1:9" x14ac:dyDescent="0.25">
      <c r="A57">
        <v>6</v>
      </c>
      <c r="B57" t="s">
        <v>162</v>
      </c>
      <c r="C57" t="s">
        <v>161</v>
      </c>
      <c r="D57">
        <v>5.0299999999999997E-2</v>
      </c>
      <c r="E57">
        <v>0</v>
      </c>
      <c r="F57">
        <v>57.034199999999998</v>
      </c>
      <c r="G57" t="e">
        <f>VLOOKUP(Query1_256[[#This Row],[pcode]],'Rekentool Natuur en landschap'!$A$40:$I$73,7,0)*Query1_256[[#This Row],[totaaloppervlaktepakket]]</f>
        <v>#N/A</v>
      </c>
      <c r="H57" t="e">
        <f>VLOOKUP(Query1_256[[#This Row],[pcode]],'Rekentool Natuur en landschap'!$A$40:$I$73,8,0)*Query1_256[[#This Row],[totaaloppervlaktepakket]]</f>
        <v>#N/A</v>
      </c>
      <c r="I57" t="e">
        <f>VLOOKUP(Query1_256[[#This Row],[pcode]],'Rekentool Natuur en landschap'!$A$40:$I$73,9,0)*Query1_256[[#This Row],[totaaloppervlaktepakket]]</f>
        <v>#N/A</v>
      </c>
    </row>
    <row r="58" spans="1:9" x14ac:dyDescent="0.25">
      <c r="A58">
        <v>6</v>
      </c>
      <c r="B58" t="s">
        <v>170</v>
      </c>
      <c r="C58" t="s">
        <v>200</v>
      </c>
      <c r="D58">
        <v>1</v>
      </c>
      <c r="E58">
        <v>0</v>
      </c>
      <c r="F58">
        <v>57.034199999999998</v>
      </c>
      <c r="G58" t="e">
        <f>VLOOKUP(Query1_256[[#This Row],[pcode]],'Rekentool Natuur en landschap'!$A$40:$I$73,7,0)*Query1_256[[#This Row],[totaaloppervlaktepakket]]</f>
        <v>#N/A</v>
      </c>
      <c r="H58" t="e">
        <f>VLOOKUP(Query1_256[[#This Row],[pcode]],'Rekentool Natuur en landschap'!$A$40:$I$73,8,0)*Query1_256[[#This Row],[totaaloppervlaktepakket]]</f>
        <v>#N/A</v>
      </c>
      <c r="I58" t="e">
        <f>VLOOKUP(Query1_256[[#This Row],[pcode]],'Rekentool Natuur en landschap'!$A$40:$I$73,9,0)*Query1_256[[#This Row],[totaaloppervlaktepakket]]</f>
        <v>#N/A</v>
      </c>
    </row>
    <row r="59" spans="1:9" x14ac:dyDescent="0.25">
      <c r="A59">
        <v>7</v>
      </c>
      <c r="B59" t="s">
        <v>204</v>
      </c>
      <c r="C59" t="s">
        <v>239</v>
      </c>
      <c r="D59">
        <v>0.156693</v>
      </c>
      <c r="E59">
        <v>1</v>
      </c>
      <c r="F59">
        <v>82.344800000000006</v>
      </c>
    </row>
    <row r="60" spans="1:9" x14ac:dyDescent="0.25">
      <c r="A60">
        <v>7</v>
      </c>
      <c r="B60" t="s">
        <v>62</v>
      </c>
      <c r="C60" t="s">
        <v>198</v>
      </c>
      <c r="D60">
        <v>9.7177000000000007</v>
      </c>
      <c r="E60">
        <v>1</v>
      </c>
      <c r="F60">
        <v>82.344800000000006</v>
      </c>
      <c r="G60" t="e">
        <f>VLOOKUP(Query1_256[[#This Row],[pcode]],'Rekentool Natuur en landschap'!$A$40:$I$73,7,0)*Query1_256[[#This Row],[totaaloppervlaktepakket]]</f>
        <v>#N/A</v>
      </c>
      <c r="H60" t="e">
        <f>VLOOKUP(Query1_256[[#This Row],[pcode]],'Rekentool Natuur en landschap'!$A$40:$I$73,8,0)*Query1_256[[#This Row],[totaaloppervlaktepakket]]</f>
        <v>#N/A</v>
      </c>
      <c r="I60" t="e">
        <f>VLOOKUP(Query1_256[[#This Row],[pcode]],'Rekentool Natuur en landschap'!$A$40:$I$73,9,0)*Query1_256[[#This Row],[totaaloppervlaktepakket]]</f>
        <v>#N/A</v>
      </c>
    </row>
    <row r="61" spans="1:9" x14ac:dyDescent="0.25">
      <c r="A61">
        <v>7</v>
      </c>
      <c r="B61" t="s">
        <v>104</v>
      </c>
      <c r="C61" t="s">
        <v>247</v>
      </c>
      <c r="D61">
        <v>5.6073000000000004</v>
      </c>
      <c r="E61">
        <v>1</v>
      </c>
      <c r="F61">
        <v>82.344800000000006</v>
      </c>
      <c r="G61" t="e">
        <f>VLOOKUP(Query1_256[[#This Row],[pcode]],'Rekentool Natuur en landschap'!$A$40:$I$73,7,0)*Query1_256[[#This Row],[totaaloppervlaktepakket]]</f>
        <v>#N/A</v>
      </c>
      <c r="H61" t="e">
        <f>VLOOKUP(Query1_256[[#This Row],[pcode]],'Rekentool Natuur en landschap'!$A$40:$I$73,8,0)*Query1_256[[#This Row],[totaaloppervlaktepakket]]</f>
        <v>#N/A</v>
      </c>
      <c r="I61" t="e">
        <f>VLOOKUP(Query1_256[[#This Row],[pcode]],'Rekentool Natuur en landschap'!$A$40:$I$73,9,0)*Query1_256[[#This Row],[totaaloppervlaktepakket]]</f>
        <v>#N/A</v>
      </c>
    </row>
    <row r="62" spans="1:9" x14ac:dyDescent="0.25">
      <c r="A62">
        <v>7</v>
      </c>
      <c r="B62" t="s">
        <v>85</v>
      </c>
      <c r="C62" t="s">
        <v>84</v>
      </c>
      <c r="D62">
        <v>0.18990000000000001</v>
      </c>
      <c r="E62">
        <v>1</v>
      </c>
      <c r="F62">
        <v>82.344800000000006</v>
      </c>
      <c r="G62" t="e">
        <f>VLOOKUP(Query1_256[[#This Row],[pcode]],'Rekentool Natuur en landschap'!$A$40:$I$73,7,0)*Query1_256[[#This Row],[totaaloppervlaktepakket]]</f>
        <v>#N/A</v>
      </c>
      <c r="H62" t="e">
        <f>VLOOKUP(Query1_256[[#This Row],[pcode]],'Rekentool Natuur en landschap'!$A$40:$I$73,8,0)*Query1_256[[#This Row],[totaaloppervlaktepakket]]</f>
        <v>#N/A</v>
      </c>
      <c r="I62" t="e">
        <f>VLOOKUP(Query1_256[[#This Row],[pcode]],'Rekentool Natuur en landschap'!$A$40:$I$73,9,0)*Query1_256[[#This Row],[totaaloppervlaktepakket]]</f>
        <v>#N/A</v>
      </c>
    </row>
    <row r="63" spans="1:9" x14ac:dyDescent="0.25">
      <c r="A63">
        <v>7</v>
      </c>
      <c r="B63" t="s">
        <v>204</v>
      </c>
      <c r="C63" t="s">
        <v>239</v>
      </c>
      <c r="D63">
        <v>26.789200000000001</v>
      </c>
      <c r="E63">
        <v>1</v>
      </c>
      <c r="F63">
        <v>82.344800000000006</v>
      </c>
    </row>
    <row r="64" spans="1:9" x14ac:dyDescent="0.25">
      <c r="A64">
        <v>7</v>
      </c>
      <c r="B64" t="s">
        <v>170</v>
      </c>
      <c r="C64" t="s">
        <v>200</v>
      </c>
      <c r="D64">
        <v>1</v>
      </c>
      <c r="E64">
        <v>1</v>
      </c>
      <c r="F64">
        <v>82.344800000000006</v>
      </c>
      <c r="G64" t="e">
        <f>VLOOKUP(Query1_256[[#This Row],[pcode]],'Rekentool Natuur en landschap'!$A$40:$I$73,7,0)*Query1_256[[#This Row],[totaaloppervlaktepakket]]</f>
        <v>#N/A</v>
      </c>
      <c r="H64" t="e">
        <f>VLOOKUP(Query1_256[[#This Row],[pcode]],'Rekentool Natuur en landschap'!$A$40:$I$73,8,0)*Query1_256[[#This Row],[totaaloppervlaktepakket]]</f>
        <v>#N/A</v>
      </c>
      <c r="I64" t="e">
        <f>VLOOKUP(Query1_256[[#This Row],[pcode]],'Rekentool Natuur en landschap'!$A$40:$I$73,9,0)*Query1_256[[#This Row],[totaaloppervlaktepakket]]</f>
        <v>#N/A</v>
      </c>
    </row>
    <row r="65" spans="1:9" x14ac:dyDescent="0.25">
      <c r="A65">
        <v>7</v>
      </c>
      <c r="B65" t="s">
        <v>168</v>
      </c>
      <c r="C65" t="s">
        <v>248</v>
      </c>
      <c r="D65">
        <v>4.3200000000000002E-2</v>
      </c>
      <c r="E65">
        <v>1</v>
      </c>
      <c r="F65">
        <v>82.344800000000006</v>
      </c>
      <c r="G65" t="e">
        <f>VLOOKUP(Query1_256[[#This Row],[pcode]],'Rekentool Natuur en landschap'!$A$40:$I$73,7,0)*Query1_256[[#This Row],[totaaloppervlaktepakket]]</f>
        <v>#N/A</v>
      </c>
      <c r="H65" t="e">
        <f>VLOOKUP(Query1_256[[#This Row],[pcode]],'Rekentool Natuur en landschap'!$A$40:$I$73,8,0)*Query1_256[[#This Row],[totaaloppervlaktepakket]]</f>
        <v>#N/A</v>
      </c>
      <c r="I65" t="e">
        <f>VLOOKUP(Query1_256[[#This Row],[pcode]],'Rekentool Natuur en landschap'!$A$40:$I$73,9,0)*Query1_256[[#This Row],[totaaloppervlaktepakket]]</f>
        <v>#N/A</v>
      </c>
    </row>
    <row r="66" spans="1:9" x14ac:dyDescent="0.25">
      <c r="A66">
        <v>7</v>
      </c>
      <c r="B66" t="s">
        <v>100</v>
      </c>
      <c r="C66" t="s">
        <v>244</v>
      </c>
      <c r="D66">
        <v>4.0178999999999999E-2</v>
      </c>
      <c r="E66">
        <v>1</v>
      </c>
      <c r="F66">
        <v>82.344800000000006</v>
      </c>
      <c r="G66" t="e">
        <f>VLOOKUP(Query1_256[[#This Row],[pcode]],'Rekentool Natuur en landschap'!$A$40:$I$73,7,0)*Query1_256[[#This Row],[totaaloppervlaktepakket]]</f>
        <v>#N/A</v>
      </c>
      <c r="H66" t="e">
        <f>VLOOKUP(Query1_256[[#This Row],[pcode]],'Rekentool Natuur en landschap'!$A$40:$I$73,8,0)*Query1_256[[#This Row],[totaaloppervlaktepakket]]</f>
        <v>#N/A</v>
      </c>
      <c r="I66" t="e">
        <f>VLOOKUP(Query1_256[[#This Row],[pcode]],'Rekentool Natuur en landschap'!$A$40:$I$73,9,0)*Query1_256[[#This Row],[totaaloppervlaktepakket]]</f>
        <v>#N/A</v>
      </c>
    </row>
    <row r="67" spans="1:9" x14ac:dyDescent="0.25">
      <c r="A67">
        <v>8</v>
      </c>
      <c r="B67" t="s">
        <v>148</v>
      </c>
      <c r="C67" t="s">
        <v>208</v>
      </c>
      <c r="D67">
        <v>1.8E-3</v>
      </c>
      <c r="E67">
        <v>0</v>
      </c>
      <c r="F67">
        <v>73.352199999999996</v>
      </c>
      <c r="G67" t="e">
        <f>VLOOKUP(Query1_256[[#This Row],[pcode]],'Rekentool Natuur en landschap'!$A$40:$I$73,7,0)*Query1_256[[#This Row],[totaaloppervlaktepakket]]</f>
        <v>#N/A</v>
      </c>
      <c r="H67" t="e">
        <f>VLOOKUP(Query1_256[[#This Row],[pcode]],'Rekentool Natuur en landschap'!$A$40:$I$73,8,0)*Query1_256[[#This Row],[totaaloppervlaktepakket]]</f>
        <v>#N/A</v>
      </c>
      <c r="I67" t="e">
        <f>VLOOKUP(Query1_256[[#This Row],[pcode]],'Rekentool Natuur en landschap'!$A$40:$I$73,9,0)*Query1_256[[#This Row],[totaaloppervlaktepakket]]</f>
        <v>#N/A</v>
      </c>
    </row>
    <row r="68" spans="1:9" x14ac:dyDescent="0.25">
      <c r="A68">
        <v>8</v>
      </c>
      <c r="B68" t="s">
        <v>153</v>
      </c>
      <c r="C68" t="s">
        <v>225</v>
      </c>
      <c r="D68">
        <v>1E-4</v>
      </c>
      <c r="E68">
        <v>0</v>
      </c>
      <c r="F68">
        <v>73.352199999999996</v>
      </c>
      <c r="G68" t="e">
        <f>VLOOKUP(Query1_256[[#This Row],[pcode]],'Rekentool Natuur en landschap'!$A$40:$I$73,7,0)*Query1_256[[#This Row],[totaaloppervlaktepakket]]</f>
        <v>#N/A</v>
      </c>
      <c r="H68" t="e">
        <f>VLOOKUP(Query1_256[[#This Row],[pcode]],'Rekentool Natuur en landschap'!$A$40:$I$73,8,0)*Query1_256[[#This Row],[totaaloppervlaktepakket]]</f>
        <v>#N/A</v>
      </c>
      <c r="I68" t="e">
        <f>VLOOKUP(Query1_256[[#This Row],[pcode]],'Rekentool Natuur en landschap'!$A$40:$I$73,9,0)*Query1_256[[#This Row],[totaaloppervlaktepakket]]</f>
        <v>#N/A</v>
      </c>
    </row>
    <row r="69" spans="1:9" x14ac:dyDescent="0.25">
      <c r="A69">
        <v>8</v>
      </c>
      <c r="B69" t="s">
        <v>170</v>
      </c>
      <c r="C69" t="s">
        <v>200</v>
      </c>
      <c r="D69">
        <v>1</v>
      </c>
      <c r="E69">
        <v>0</v>
      </c>
      <c r="F69">
        <v>73.352199999999996</v>
      </c>
      <c r="G69" t="e">
        <f>VLOOKUP(Query1_256[[#This Row],[pcode]],'Rekentool Natuur en landschap'!$A$40:$I$73,7,0)*Query1_256[[#This Row],[totaaloppervlaktepakket]]</f>
        <v>#N/A</v>
      </c>
      <c r="H69" t="e">
        <f>VLOOKUP(Query1_256[[#This Row],[pcode]],'Rekentool Natuur en landschap'!$A$40:$I$73,8,0)*Query1_256[[#This Row],[totaaloppervlaktepakket]]</f>
        <v>#N/A</v>
      </c>
      <c r="I69" t="e">
        <f>VLOOKUP(Query1_256[[#This Row],[pcode]],'Rekentool Natuur en landschap'!$A$40:$I$73,9,0)*Query1_256[[#This Row],[totaaloppervlaktepakket]]</f>
        <v>#N/A</v>
      </c>
    </row>
    <row r="70" spans="1:9" x14ac:dyDescent="0.25">
      <c r="A70">
        <v>9</v>
      </c>
      <c r="B70" t="s">
        <v>48</v>
      </c>
      <c r="C70" t="s">
        <v>235</v>
      </c>
      <c r="D70">
        <v>4.7586769999999996</v>
      </c>
      <c r="E70">
        <v>1</v>
      </c>
      <c r="F70">
        <v>119.33669999999999</v>
      </c>
      <c r="G70" t="e">
        <f>VLOOKUP(Query1_256[[#This Row],[pcode]],'Rekentool Natuur en landschap'!$A$40:$I$73,7,0)*Query1_256[[#This Row],[totaaloppervlaktepakket]]</f>
        <v>#N/A</v>
      </c>
      <c r="H70" t="e">
        <f>VLOOKUP(Query1_256[[#This Row],[pcode]],'Rekentool Natuur en landschap'!$A$40:$I$73,8,0)*Query1_256[[#This Row],[totaaloppervlaktepakket]]</f>
        <v>#N/A</v>
      </c>
      <c r="I70" t="e">
        <f>VLOOKUP(Query1_256[[#This Row],[pcode]],'Rekentool Natuur en landschap'!$A$40:$I$73,9,0)*Query1_256[[#This Row],[totaaloppervlaktepakket]]</f>
        <v>#N/A</v>
      </c>
    </row>
    <row r="71" spans="1:9" x14ac:dyDescent="0.25">
      <c r="A71">
        <v>9</v>
      </c>
      <c r="B71" t="s">
        <v>58</v>
      </c>
      <c r="C71" t="s">
        <v>242</v>
      </c>
      <c r="D71">
        <v>0.40550000000000003</v>
      </c>
      <c r="E71">
        <v>1</v>
      </c>
      <c r="F71">
        <v>119.33669999999999</v>
      </c>
      <c r="G71" t="e">
        <f>VLOOKUP(Query1_256[[#This Row],[pcode]],'Rekentool Natuur en landschap'!$A$40:$I$73,7,0)*Query1_256[[#This Row],[totaaloppervlaktepakket]]</f>
        <v>#N/A</v>
      </c>
      <c r="H71" t="e">
        <f>VLOOKUP(Query1_256[[#This Row],[pcode]],'Rekentool Natuur en landschap'!$A$40:$I$73,8,0)*Query1_256[[#This Row],[totaaloppervlaktepakket]]</f>
        <v>#N/A</v>
      </c>
      <c r="I71" t="e">
        <f>VLOOKUP(Query1_256[[#This Row],[pcode]],'Rekentool Natuur en landschap'!$A$40:$I$73,9,0)*Query1_256[[#This Row],[totaaloppervlaktepakket]]</f>
        <v>#N/A</v>
      </c>
    </row>
    <row r="72" spans="1:9" x14ac:dyDescent="0.25">
      <c r="A72">
        <v>9</v>
      </c>
      <c r="B72" t="s">
        <v>204</v>
      </c>
      <c r="C72" t="s">
        <v>249</v>
      </c>
      <c r="D72">
        <v>5.1707999999999998</v>
      </c>
      <c r="E72">
        <v>1</v>
      </c>
      <c r="F72">
        <v>119.33669999999999</v>
      </c>
    </row>
    <row r="73" spans="1:9" x14ac:dyDescent="0.25">
      <c r="A73">
        <v>9</v>
      </c>
      <c r="B73" t="s">
        <v>204</v>
      </c>
      <c r="C73" t="s">
        <v>237</v>
      </c>
      <c r="D73">
        <v>4.9817</v>
      </c>
      <c r="E73">
        <v>1</v>
      </c>
      <c r="F73">
        <v>119.33669999999999</v>
      </c>
    </row>
    <row r="74" spans="1:9" x14ac:dyDescent="0.25">
      <c r="A74">
        <v>9</v>
      </c>
      <c r="B74" t="s">
        <v>104</v>
      </c>
      <c r="C74" t="s">
        <v>216</v>
      </c>
      <c r="D74">
        <v>9.7403980000000008</v>
      </c>
      <c r="E74">
        <v>1</v>
      </c>
      <c r="F74">
        <v>119.33669999999999</v>
      </c>
      <c r="G74" t="e">
        <f>VLOOKUP(Query1_256[[#This Row],[pcode]],'Rekentool Natuur en landschap'!$A$40:$I$73,7,0)*Query1_256[[#This Row],[totaaloppervlaktepakket]]</f>
        <v>#N/A</v>
      </c>
      <c r="H74" t="e">
        <f>VLOOKUP(Query1_256[[#This Row],[pcode]],'Rekentool Natuur en landschap'!$A$40:$I$73,8,0)*Query1_256[[#This Row],[totaaloppervlaktepakket]]</f>
        <v>#N/A</v>
      </c>
      <c r="I74" t="e">
        <f>VLOOKUP(Query1_256[[#This Row],[pcode]],'Rekentool Natuur en landschap'!$A$40:$I$73,9,0)*Query1_256[[#This Row],[totaaloppervlaktepakket]]</f>
        <v>#N/A</v>
      </c>
    </row>
    <row r="75" spans="1:9" x14ac:dyDescent="0.25">
      <c r="A75">
        <v>9</v>
      </c>
      <c r="B75" t="s">
        <v>54</v>
      </c>
      <c r="C75" t="s">
        <v>222</v>
      </c>
      <c r="D75">
        <v>8.8210999999999995</v>
      </c>
      <c r="E75">
        <v>1</v>
      </c>
      <c r="F75">
        <v>119.33669999999999</v>
      </c>
      <c r="G75" t="e">
        <f>VLOOKUP(Query1_256[[#This Row],[pcode]],'Rekentool Natuur en landschap'!$A$40:$I$73,7,0)*Query1_256[[#This Row],[totaaloppervlaktepakket]]</f>
        <v>#N/A</v>
      </c>
      <c r="H75" t="e">
        <f>VLOOKUP(Query1_256[[#This Row],[pcode]],'Rekentool Natuur en landschap'!$A$40:$I$73,8,0)*Query1_256[[#This Row],[totaaloppervlaktepakket]]</f>
        <v>#N/A</v>
      </c>
      <c r="I75" t="e">
        <f>VLOOKUP(Query1_256[[#This Row],[pcode]],'Rekentool Natuur en landschap'!$A$40:$I$73,9,0)*Query1_256[[#This Row],[totaaloppervlaktepakket]]</f>
        <v>#N/A</v>
      </c>
    </row>
    <row r="76" spans="1:9" x14ac:dyDescent="0.25">
      <c r="A76">
        <v>10</v>
      </c>
      <c r="B76" t="s">
        <v>48</v>
      </c>
      <c r="C76" t="s">
        <v>197</v>
      </c>
      <c r="D76">
        <v>8.4374359999999999</v>
      </c>
      <c r="E76">
        <v>1</v>
      </c>
      <c r="F76">
        <v>82.043000000000006</v>
      </c>
      <c r="G76" t="e">
        <f>VLOOKUP(Query1_256[[#This Row],[pcode]],'Rekentool Natuur en landschap'!$A$40:$I$73,7,0)*Query1_256[[#This Row],[totaaloppervlaktepakket]]</f>
        <v>#N/A</v>
      </c>
      <c r="H76" t="e">
        <f>VLOOKUP(Query1_256[[#This Row],[pcode]],'Rekentool Natuur en landschap'!$A$40:$I$73,8,0)*Query1_256[[#This Row],[totaaloppervlaktepakket]]</f>
        <v>#N/A</v>
      </c>
      <c r="I76" t="e">
        <f>VLOOKUP(Query1_256[[#This Row],[pcode]],'Rekentool Natuur en landschap'!$A$40:$I$73,9,0)*Query1_256[[#This Row],[totaaloppervlaktepakket]]</f>
        <v>#N/A</v>
      </c>
    </row>
    <row r="77" spans="1:9" x14ac:dyDescent="0.25">
      <c r="A77">
        <v>10</v>
      </c>
      <c r="B77" t="s">
        <v>62</v>
      </c>
      <c r="C77" t="s">
        <v>198</v>
      </c>
      <c r="D77">
        <v>28.293969000000001</v>
      </c>
      <c r="E77">
        <v>1</v>
      </c>
      <c r="F77">
        <v>82.043000000000006</v>
      </c>
      <c r="G77" t="e">
        <f>VLOOKUP(Query1_256[[#This Row],[pcode]],'Rekentool Natuur en landschap'!$A$40:$I$73,7,0)*Query1_256[[#This Row],[totaaloppervlaktepakket]]</f>
        <v>#N/A</v>
      </c>
      <c r="H77" t="e">
        <f>VLOOKUP(Query1_256[[#This Row],[pcode]],'Rekentool Natuur en landschap'!$A$40:$I$73,8,0)*Query1_256[[#This Row],[totaaloppervlaktepakket]]</f>
        <v>#N/A</v>
      </c>
      <c r="I77" t="e">
        <f>VLOOKUP(Query1_256[[#This Row],[pcode]],'Rekentool Natuur en landschap'!$A$40:$I$73,9,0)*Query1_256[[#This Row],[totaaloppervlaktepakket]]</f>
        <v>#N/A</v>
      </c>
    </row>
    <row r="78" spans="1:9" x14ac:dyDescent="0.25">
      <c r="A78">
        <v>10</v>
      </c>
      <c r="B78" t="s">
        <v>68</v>
      </c>
      <c r="C78" t="s">
        <v>67</v>
      </c>
      <c r="D78">
        <v>3.45242</v>
      </c>
      <c r="E78">
        <v>1</v>
      </c>
      <c r="F78">
        <v>82.043000000000006</v>
      </c>
      <c r="G78" t="e">
        <f>VLOOKUP(Query1_256[[#This Row],[pcode]],'Rekentool Natuur en landschap'!$A$40:$I$73,7,0)*Query1_256[[#This Row],[totaaloppervlaktepakket]]</f>
        <v>#N/A</v>
      </c>
      <c r="H78" t="e">
        <f>VLOOKUP(Query1_256[[#This Row],[pcode]],'Rekentool Natuur en landschap'!$A$40:$I$73,8,0)*Query1_256[[#This Row],[totaaloppervlaktepakket]]</f>
        <v>#N/A</v>
      </c>
      <c r="I78" t="e">
        <f>VLOOKUP(Query1_256[[#This Row],[pcode]],'Rekentool Natuur en landschap'!$A$40:$I$73,9,0)*Query1_256[[#This Row],[totaaloppervlaktepakket]]</f>
        <v>#N/A</v>
      </c>
    </row>
    <row r="79" spans="1:9" x14ac:dyDescent="0.25">
      <c r="A79">
        <v>10</v>
      </c>
      <c r="B79" t="s">
        <v>146</v>
      </c>
      <c r="C79" t="s">
        <v>145</v>
      </c>
      <c r="D79">
        <v>1.1455</v>
      </c>
      <c r="E79">
        <v>1</v>
      </c>
      <c r="F79">
        <v>82.043000000000006</v>
      </c>
      <c r="G79" t="e">
        <f>VLOOKUP(Query1_256[[#This Row],[pcode]],'Rekentool Natuur en landschap'!$A$40:$I$73,7,0)*Query1_256[[#This Row],[totaaloppervlaktepakket]]</f>
        <v>#N/A</v>
      </c>
      <c r="H79" t="e">
        <f>VLOOKUP(Query1_256[[#This Row],[pcode]],'Rekentool Natuur en landschap'!$A$40:$I$73,8,0)*Query1_256[[#This Row],[totaaloppervlaktepakket]]</f>
        <v>#N/A</v>
      </c>
      <c r="I79" t="e">
        <f>VLOOKUP(Query1_256[[#This Row],[pcode]],'Rekentool Natuur en landschap'!$A$40:$I$73,9,0)*Query1_256[[#This Row],[totaaloppervlaktepakket]]</f>
        <v>#N/A</v>
      </c>
    </row>
    <row r="80" spans="1:9" x14ac:dyDescent="0.25">
      <c r="A80">
        <v>10</v>
      </c>
      <c r="B80" t="s">
        <v>170</v>
      </c>
      <c r="C80" t="s">
        <v>200</v>
      </c>
      <c r="D80">
        <v>1</v>
      </c>
      <c r="E80">
        <v>1</v>
      </c>
      <c r="F80">
        <v>82.043000000000006</v>
      </c>
      <c r="G80" t="e">
        <f>VLOOKUP(Query1_256[[#This Row],[pcode]],'Rekentool Natuur en landschap'!$A$40:$I$73,7,0)*Query1_256[[#This Row],[totaaloppervlaktepakket]]</f>
        <v>#N/A</v>
      </c>
      <c r="H80" t="e">
        <f>VLOOKUP(Query1_256[[#This Row],[pcode]],'Rekentool Natuur en landschap'!$A$40:$I$73,8,0)*Query1_256[[#This Row],[totaaloppervlaktepakket]]</f>
        <v>#N/A</v>
      </c>
      <c r="I80" t="e">
        <f>VLOOKUP(Query1_256[[#This Row],[pcode]],'Rekentool Natuur en landschap'!$A$40:$I$73,9,0)*Query1_256[[#This Row],[totaaloppervlaktepakket]]</f>
        <v>#N/A</v>
      </c>
    </row>
    <row r="81" spans="1:9" x14ac:dyDescent="0.25">
      <c r="A81">
        <v>11</v>
      </c>
      <c r="B81" t="s">
        <v>48</v>
      </c>
      <c r="C81" t="s">
        <v>197</v>
      </c>
      <c r="D81">
        <v>2.4361000000000002</v>
      </c>
      <c r="E81">
        <v>1</v>
      </c>
      <c r="F81">
        <v>68.491299999999995</v>
      </c>
      <c r="G81" t="e">
        <f>VLOOKUP(Query1_256[[#This Row],[pcode]],'Rekentool Natuur en landschap'!$A$40:$I$73,7,0)*Query1_256[[#This Row],[totaaloppervlaktepakket]]</f>
        <v>#N/A</v>
      </c>
      <c r="H81" t="e">
        <f>VLOOKUP(Query1_256[[#This Row],[pcode]],'Rekentool Natuur en landschap'!$A$40:$I$73,8,0)*Query1_256[[#This Row],[totaaloppervlaktepakket]]</f>
        <v>#N/A</v>
      </c>
      <c r="I81" t="e">
        <f>VLOOKUP(Query1_256[[#This Row],[pcode]],'Rekentool Natuur en landschap'!$A$40:$I$73,9,0)*Query1_256[[#This Row],[totaaloppervlaktepakket]]</f>
        <v>#N/A</v>
      </c>
    </row>
    <row r="82" spans="1:9" x14ac:dyDescent="0.25">
      <c r="A82">
        <v>11</v>
      </c>
      <c r="B82" t="s">
        <v>62</v>
      </c>
      <c r="C82" t="s">
        <v>198</v>
      </c>
      <c r="D82">
        <v>5.7154999999999996</v>
      </c>
      <c r="E82">
        <v>1</v>
      </c>
      <c r="F82">
        <v>68.491299999999995</v>
      </c>
      <c r="G82" t="e">
        <f>VLOOKUP(Query1_256[[#This Row],[pcode]],'Rekentool Natuur en landschap'!$A$40:$I$73,7,0)*Query1_256[[#This Row],[totaaloppervlaktepakket]]</f>
        <v>#N/A</v>
      </c>
      <c r="H82" t="e">
        <f>VLOOKUP(Query1_256[[#This Row],[pcode]],'Rekentool Natuur en landschap'!$A$40:$I$73,8,0)*Query1_256[[#This Row],[totaaloppervlaktepakket]]</f>
        <v>#N/A</v>
      </c>
      <c r="I82" t="e">
        <f>VLOOKUP(Query1_256[[#This Row],[pcode]],'Rekentool Natuur en landschap'!$A$40:$I$73,9,0)*Query1_256[[#This Row],[totaaloppervlaktepakket]]</f>
        <v>#N/A</v>
      </c>
    </row>
    <row r="83" spans="1:9" x14ac:dyDescent="0.25">
      <c r="A83">
        <v>11</v>
      </c>
      <c r="B83" t="s">
        <v>104</v>
      </c>
      <c r="C83" t="s">
        <v>247</v>
      </c>
      <c r="D83">
        <v>9.08</v>
      </c>
      <c r="E83">
        <v>1</v>
      </c>
      <c r="F83">
        <v>68.491299999999995</v>
      </c>
      <c r="G83" t="e">
        <f>VLOOKUP(Query1_256[[#This Row],[pcode]],'Rekentool Natuur en landschap'!$A$40:$I$73,7,0)*Query1_256[[#This Row],[totaaloppervlaktepakket]]</f>
        <v>#N/A</v>
      </c>
      <c r="H83" t="e">
        <f>VLOOKUP(Query1_256[[#This Row],[pcode]],'Rekentool Natuur en landschap'!$A$40:$I$73,8,0)*Query1_256[[#This Row],[totaaloppervlaktepakket]]</f>
        <v>#N/A</v>
      </c>
      <c r="I83" t="e">
        <f>VLOOKUP(Query1_256[[#This Row],[pcode]],'Rekentool Natuur en landschap'!$A$40:$I$73,9,0)*Query1_256[[#This Row],[totaaloppervlaktepakket]]</f>
        <v>#N/A</v>
      </c>
    </row>
    <row r="84" spans="1:9" x14ac:dyDescent="0.25">
      <c r="A84">
        <v>11</v>
      </c>
      <c r="B84" t="s">
        <v>85</v>
      </c>
      <c r="C84" t="s">
        <v>84</v>
      </c>
      <c r="D84">
        <v>0.33029999999999998</v>
      </c>
      <c r="E84">
        <v>1</v>
      </c>
      <c r="F84">
        <v>68.491299999999995</v>
      </c>
      <c r="G84" t="e">
        <f>VLOOKUP(Query1_256[[#This Row],[pcode]],'Rekentool Natuur en landschap'!$A$40:$I$73,7,0)*Query1_256[[#This Row],[totaaloppervlaktepakket]]</f>
        <v>#N/A</v>
      </c>
      <c r="H84" t="e">
        <f>VLOOKUP(Query1_256[[#This Row],[pcode]],'Rekentool Natuur en landschap'!$A$40:$I$73,8,0)*Query1_256[[#This Row],[totaaloppervlaktepakket]]</f>
        <v>#N/A</v>
      </c>
      <c r="I84" t="e">
        <f>VLOOKUP(Query1_256[[#This Row],[pcode]],'Rekentool Natuur en landschap'!$A$40:$I$73,9,0)*Query1_256[[#This Row],[totaaloppervlaktepakket]]</f>
        <v>#N/A</v>
      </c>
    </row>
    <row r="85" spans="1:9" x14ac:dyDescent="0.25">
      <c r="A85">
        <v>11</v>
      </c>
      <c r="B85" t="s">
        <v>170</v>
      </c>
      <c r="C85" t="s">
        <v>200</v>
      </c>
      <c r="D85">
        <v>1</v>
      </c>
      <c r="E85">
        <v>1</v>
      </c>
      <c r="F85">
        <v>68.491299999999995</v>
      </c>
      <c r="G85" t="e">
        <f>VLOOKUP(Query1_256[[#This Row],[pcode]],'Rekentool Natuur en landschap'!$A$40:$I$73,7,0)*Query1_256[[#This Row],[totaaloppervlaktepakket]]</f>
        <v>#N/A</v>
      </c>
      <c r="H85" t="e">
        <f>VLOOKUP(Query1_256[[#This Row],[pcode]],'Rekentool Natuur en landschap'!$A$40:$I$73,8,0)*Query1_256[[#This Row],[totaaloppervlaktepakket]]</f>
        <v>#N/A</v>
      </c>
      <c r="I85" t="e">
        <f>VLOOKUP(Query1_256[[#This Row],[pcode]],'Rekentool Natuur en landschap'!$A$40:$I$73,9,0)*Query1_256[[#This Row],[totaaloppervlaktepakket]]</f>
        <v>#N/A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796A1-39C6-49AE-A418-8E7518F7ACD2}">
  <dimension ref="A6:J29"/>
  <sheetViews>
    <sheetView topLeftCell="A4" workbookViewId="0">
      <selection activeCell="O22" sqref="O22"/>
    </sheetView>
  </sheetViews>
  <sheetFormatPr defaultRowHeight="15" x14ac:dyDescent="0.25"/>
  <cols>
    <col min="1" max="1" width="10.85546875" bestFit="1" customWidth="1"/>
    <col min="2" max="2" width="29.140625" bestFit="1" customWidth="1"/>
    <col min="4" max="4" width="13.7109375" bestFit="1" customWidth="1"/>
    <col min="5" max="5" width="15" bestFit="1" customWidth="1"/>
    <col min="6" max="6" width="18.85546875" bestFit="1" customWidth="1"/>
    <col min="7" max="7" width="18.85546875" customWidth="1"/>
  </cols>
  <sheetData>
    <row r="6" spans="1:10" x14ac:dyDescent="0.25">
      <c r="A6" s="2" t="s">
        <v>250</v>
      </c>
      <c r="B6" t="s">
        <v>251</v>
      </c>
      <c r="D6" s="2" t="s">
        <v>250</v>
      </c>
      <c r="E6" t="s">
        <v>252</v>
      </c>
      <c r="F6" t="s">
        <v>253</v>
      </c>
      <c r="G6" t="s">
        <v>254</v>
      </c>
      <c r="H6" s="11" t="s">
        <v>255</v>
      </c>
      <c r="I6" s="11" t="s">
        <v>256</v>
      </c>
      <c r="J6" s="11" t="s">
        <v>257</v>
      </c>
    </row>
    <row r="7" spans="1:10" x14ac:dyDescent="0.25">
      <c r="A7" s="3">
        <v>1</v>
      </c>
      <c r="B7">
        <v>54.446500000000007</v>
      </c>
      <c r="D7" s="3">
        <v>1</v>
      </c>
      <c r="E7">
        <v>5.5402592378279252</v>
      </c>
      <c r="F7">
        <v>5.5402592378279252</v>
      </c>
      <c r="G7">
        <v>5.5402592378279252</v>
      </c>
      <c r="H7" s="4">
        <f>E7/$B7*100</f>
        <v>10.175602174295729</v>
      </c>
      <c r="I7" s="4">
        <f t="shared" ref="I7:J7" si="0">F7/$B7*100</f>
        <v>10.175602174295729</v>
      </c>
      <c r="J7" s="4">
        <f t="shared" si="0"/>
        <v>10.175602174295729</v>
      </c>
    </row>
    <row r="8" spans="1:10" x14ac:dyDescent="0.25">
      <c r="A8" s="3">
        <v>2</v>
      </c>
      <c r="B8">
        <v>83.029499999999999</v>
      </c>
      <c r="D8" s="3">
        <v>2</v>
      </c>
      <c r="E8">
        <v>3.0336856773873686</v>
      </c>
      <c r="F8">
        <v>10.124438056759478</v>
      </c>
      <c r="G8">
        <v>3.8317780567594797</v>
      </c>
      <c r="H8" s="4">
        <f t="shared" ref="H8:H17" si="1">E8/$B8*100</f>
        <v>3.6537443648189729</v>
      </c>
      <c r="I8" s="4">
        <f t="shared" ref="I8:I17" si="2">F8/$B8*100</f>
        <v>12.193784205323986</v>
      </c>
      <c r="J8" s="4">
        <f t="shared" ref="J8:J17" si="3">G8/$B8*100</f>
        <v>4.6149598115844128</v>
      </c>
    </row>
    <row r="9" spans="1:10" x14ac:dyDescent="0.25">
      <c r="A9" s="3">
        <v>3</v>
      </c>
      <c r="B9">
        <v>79.901899999999998</v>
      </c>
      <c r="D9" s="3">
        <v>3</v>
      </c>
      <c r="E9">
        <v>3.7769898591808335</v>
      </c>
      <c r="F9">
        <v>16.709874732915381</v>
      </c>
      <c r="G9">
        <v>5.2478747329153803</v>
      </c>
      <c r="H9" s="4">
        <f t="shared" si="1"/>
        <v>4.7270338492336643</v>
      </c>
      <c r="I9" s="4">
        <f t="shared" si="2"/>
        <v>20.912987967639545</v>
      </c>
      <c r="J9" s="4">
        <f t="shared" si="3"/>
        <v>6.5678973002086067</v>
      </c>
    </row>
    <row r="10" spans="1:10" x14ac:dyDescent="0.25">
      <c r="A10" s="3">
        <v>4</v>
      </c>
      <c r="B10">
        <v>58.893099999999997</v>
      </c>
      <c r="D10" s="3">
        <v>4</v>
      </c>
      <c r="E10">
        <v>4.0176988675292282</v>
      </c>
      <c r="F10">
        <v>16.707308156316476</v>
      </c>
      <c r="G10">
        <v>5.4293081563164725</v>
      </c>
      <c r="H10" s="4">
        <f t="shared" si="1"/>
        <v>6.8220196721334556</v>
      </c>
      <c r="I10" s="4">
        <f t="shared" si="2"/>
        <v>28.368872000822638</v>
      </c>
      <c r="J10" s="4">
        <f t="shared" si="3"/>
        <v>9.2189206482872734</v>
      </c>
    </row>
    <row r="11" spans="1:10" x14ac:dyDescent="0.25">
      <c r="A11" s="3">
        <v>5</v>
      </c>
      <c r="B11">
        <v>65.807400000000015</v>
      </c>
      <c r="D11" s="3">
        <v>5</v>
      </c>
      <c r="E11">
        <v>10.430215751715261</v>
      </c>
      <c r="F11">
        <v>38.777523890599269</v>
      </c>
      <c r="G11">
        <v>14.261643890599263</v>
      </c>
      <c r="H11" s="4">
        <f t="shared" si="1"/>
        <v>15.849609241081183</v>
      </c>
      <c r="I11" s="4">
        <f t="shared" si="2"/>
        <v>58.925780217117321</v>
      </c>
      <c r="J11" s="4">
        <f t="shared" si="3"/>
        <v>21.671793583395271</v>
      </c>
    </row>
    <row r="12" spans="1:10" x14ac:dyDescent="0.25">
      <c r="A12" s="3">
        <v>6</v>
      </c>
      <c r="B12">
        <v>57.03420000000002</v>
      </c>
      <c r="D12" s="3">
        <v>6</v>
      </c>
      <c r="E12">
        <v>7.8037335930238143</v>
      </c>
      <c r="F12">
        <v>19.45590833113695</v>
      </c>
      <c r="G12">
        <v>9.0988683311369503</v>
      </c>
      <c r="H12" s="4">
        <f t="shared" si="1"/>
        <v>13.682551158820166</v>
      </c>
      <c r="I12" s="4">
        <f t="shared" si="2"/>
        <v>34.112704887833864</v>
      </c>
      <c r="J12" s="4">
        <f t="shared" si="3"/>
        <v>15.953354883801204</v>
      </c>
    </row>
    <row r="13" spans="1:10" x14ac:dyDescent="0.25">
      <c r="A13" s="3">
        <v>7</v>
      </c>
      <c r="B13">
        <v>82.344800000000006</v>
      </c>
      <c r="D13" s="3">
        <v>7</v>
      </c>
      <c r="E13">
        <v>1.6293508734893194</v>
      </c>
      <c r="F13">
        <v>7.7784233873633264</v>
      </c>
      <c r="G13">
        <v>2.3128433873633263</v>
      </c>
      <c r="H13" s="4">
        <f t="shared" si="1"/>
        <v>1.9786930971832091</v>
      </c>
      <c r="I13" s="4">
        <f t="shared" si="2"/>
        <v>9.446162219549171</v>
      </c>
      <c r="J13" s="4">
        <f t="shared" si="3"/>
        <v>2.8087303477126984</v>
      </c>
    </row>
    <row r="14" spans="1:10" x14ac:dyDescent="0.25">
      <c r="A14" s="3">
        <v>8</v>
      </c>
      <c r="B14">
        <v>73.352199999999996</v>
      </c>
      <c r="D14" s="3">
        <v>8</v>
      </c>
      <c r="E14">
        <v>0.12373974443040607</v>
      </c>
      <c r="F14">
        <v>0.14750000000000002</v>
      </c>
      <c r="G14">
        <v>0.14750000000000002</v>
      </c>
      <c r="H14" s="4">
        <f t="shared" si="1"/>
        <v>0.16869261512320841</v>
      </c>
      <c r="I14" s="4">
        <f t="shared" si="2"/>
        <v>0.20108463004517935</v>
      </c>
      <c r="J14" s="4">
        <f t="shared" si="3"/>
        <v>0.20108463004517935</v>
      </c>
    </row>
    <row r="15" spans="1:10" x14ac:dyDescent="0.25">
      <c r="A15" s="3">
        <v>9</v>
      </c>
      <c r="B15">
        <v>119.33669999999999</v>
      </c>
      <c r="D15" s="3">
        <v>9</v>
      </c>
      <c r="E15">
        <v>7.8539481688710477</v>
      </c>
      <c r="F15">
        <v>7.8539481688710477</v>
      </c>
      <c r="G15">
        <v>7.8539481688710477</v>
      </c>
      <c r="H15" s="4">
        <f t="shared" si="1"/>
        <v>6.5813351373643219</v>
      </c>
      <c r="I15" s="4">
        <f t="shared" si="2"/>
        <v>6.5813351373643219</v>
      </c>
      <c r="J15" s="4">
        <f t="shared" si="3"/>
        <v>6.5813351373643219</v>
      </c>
    </row>
    <row r="16" spans="1:10" x14ac:dyDescent="0.25">
      <c r="A16" s="3">
        <v>10</v>
      </c>
      <c r="B16">
        <v>82.043000000000006</v>
      </c>
      <c r="D16" s="3">
        <v>10</v>
      </c>
      <c r="E16">
        <v>8.2961800801333823</v>
      </c>
      <c r="F16">
        <v>34.071166685919685</v>
      </c>
      <c r="G16">
        <v>11.161166685919683</v>
      </c>
      <c r="H16" s="4">
        <f t="shared" si="1"/>
        <v>10.111990151668493</v>
      </c>
      <c r="I16" s="4">
        <f t="shared" si="2"/>
        <v>41.528426173981551</v>
      </c>
      <c r="J16" s="4">
        <f t="shared" si="3"/>
        <v>13.604045056762528</v>
      </c>
    </row>
    <row r="17" spans="1:10" x14ac:dyDescent="0.25">
      <c r="A17" s="3">
        <v>11</v>
      </c>
      <c r="B17">
        <v>68.491299999999995</v>
      </c>
      <c r="D17" s="3">
        <v>11</v>
      </c>
      <c r="E17">
        <v>2.9042797124975346</v>
      </c>
      <c r="F17">
        <v>10.33638628245931</v>
      </c>
      <c r="G17">
        <v>3.7303862824593108</v>
      </c>
      <c r="H17" s="4">
        <f t="shared" si="1"/>
        <v>4.2403629548534409</v>
      </c>
      <c r="I17" s="4">
        <f t="shared" si="2"/>
        <v>15.09153174557836</v>
      </c>
      <c r="J17" s="4">
        <f t="shared" si="3"/>
        <v>5.4465111371215196</v>
      </c>
    </row>
    <row r="18" spans="1:10" x14ac:dyDescent="0.25">
      <c r="A18" s="3" t="s">
        <v>258</v>
      </c>
      <c r="B18">
        <v>73.315880952380937</v>
      </c>
      <c r="D18" s="3" t="s">
        <v>258</v>
      </c>
      <c r="E18">
        <v>55.410081566086127</v>
      </c>
      <c r="F18">
        <v>167.50273693016885</v>
      </c>
      <c r="G18">
        <v>68.615576930168828</v>
      </c>
    </row>
    <row r="20" spans="1:10" x14ac:dyDescent="0.25">
      <c r="B20" t="s">
        <v>259</v>
      </c>
      <c r="D20" s="2" t="s">
        <v>250</v>
      </c>
      <c r="E20" t="s">
        <v>260</v>
      </c>
      <c r="F20" t="s">
        <v>253</v>
      </c>
      <c r="G20" t="s">
        <v>254</v>
      </c>
      <c r="H20" s="11" t="s">
        <v>255</v>
      </c>
      <c r="I20" s="11" t="s">
        <v>256</v>
      </c>
      <c r="J20" s="11" t="s">
        <v>257</v>
      </c>
    </row>
    <row r="21" spans="1:10" x14ac:dyDescent="0.25">
      <c r="A21" t="s">
        <v>206</v>
      </c>
      <c r="B21">
        <v>61.31</v>
      </c>
      <c r="D21" s="3" t="s">
        <v>209</v>
      </c>
      <c r="E21">
        <v>8.3336930446047308</v>
      </c>
      <c r="F21">
        <v>62.522500000000008</v>
      </c>
      <c r="G21">
        <v>16.574500000000004</v>
      </c>
      <c r="H21" s="4">
        <f>E21/$B21*100</f>
        <v>13.592714148759958</v>
      </c>
      <c r="I21" s="4">
        <f t="shared" ref="I21:J21" si="4">F21/$B21*100</f>
        <v>101.97765454248899</v>
      </c>
      <c r="J21" s="4">
        <f t="shared" si="4"/>
        <v>27.033925950089717</v>
      </c>
    </row>
    <row r="22" spans="1:10" x14ac:dyDescent="0.25">
      <c r="A22" t="s">
        <v>261</v>
      </c>
      <c r="B22">
        <v>61.02</v>
      </c>
      <c r="D22" s="3" t="s">
        <v>221</v>
      </c>
      <c r="E22">
        <v>5.4467714309688837</v>
      </c>
      <c r="F22">
        <v>8.0365214309688842</v>
      </c>
      <c r="G22">
        <v>5.7345214309688846</v>
      </c>
      <c r="H22" s="4">
        <f t="shared" ref="H22:H28" si="5">E22/$B22*100</f>
        <v>8.9262068681889275</v>
      </c>
      <c r="I22" s="4">
        <f t="shared" ref="I22:I28" si="6">F22/$B22*100</f>
        <v>13.170307163174177</v>
      </c>
      <c r="J22" s="4">
        <f t="shared" ref="J22:J28" si="7">G22/$B22*100</f>
        <v>9.3977735676317344</v>
      </c>
    </row>
    <row r="23" spans="1:10" x14ac:dyDescent="0.25">
      <c r="A23" t="s">
        <v>201</v>
      </c>
      <c r="B23">
        <v>59.94</v>
      </c>
      <c r="D23" s="3" t="s">
        <v>224</v>
      </c>
      <c r="E23">
        <v>0.35479626641290973</v>
      </c>
      <c r="F23">
        <v>0.44358458985718174</v>
      </c>
      <c r="G23">
        <v>0.44358458985718174</v>
      </c>
      <c r="H23" s="4">
        <f t="shared" si="5"/>
        <v>0.59191902971790089</v>
      </c>
      <c r="I23" s="4">
        <f t="shared" si="6"/>
        <v>0.740047697459429</v>
      </c>
      <c r="J23" s="4">
        <f t="shared" si="7"/>
        <v>0.740047697459429</v>
      </c>
    </row>
    <row r="24" spans="1:10" x14ac:dyDescent="0.25">
      <c r="A24" t="s">
        <v>201</v>
      </c>
      <c r="B24">
        <v>51.75</v>
      </c>
      <c r="D24" s="3" t="s">
        <v>226</v>
      </c>
      <c r="E24">
        <v>1.0904910118828666</v>
      </c>
      <c r="F24">
        <v>2.2973276984342772</v>
      </c>
      <c r="G24">
        <v>1.2913276984342765</v>
      </c>
      <c r="H24" s="4">
        <f t="shared" si="5"/>
        <v>2.1072290084693073</v>
      </c>
      <c r="I24" s="4">
        <f t="shared" si="6"/>
        <v>4.4392805766845935</v>
      </c>
      <c r="J24" s="4">
        <f t="shared" si="7"/>
        <v>2.4953192240275874</v>
      </c>
    </row>
    <row r="25" spans="1:10" x14ac:dyDescent="0.25">
      <c r="A25" t="s">
        <v>199</v>
      </c>
      <c r="B25">
        <v>35.700000000000003</v>
      </c>
      <c r="D25" s="3" t="s">
        <v>228</v>
      </c>
      <c r="E25">
        <v>0.84449999999999992</v>
      </c>
      <c r="F25">
        <v>1.2450000000000001</v>
      </c>
      <c r="G25">
        <v>0.8889999999999999</v>
      </c>
      <c r="H25" s="4">
        <f t="shared" si="5"/>
        <v>2.3655462184873945</v>
      </c>
      <c r="I25" s="4">
        <f t="shared" si="6"/>
        <v>3.4873949579831933</v>
      </c>
      <c r="J25" s="4">
        <f t="shared" si="7"/>
        <v>2.4901960784313721</v>
      </c>
    </row>
    <row r="26" spans="1:10" x14ac:dyDescent="0.25">
      <c r="A26" t="s">
        <v>191</v>
      </c>
      <c r="B26">
        <v>48.4</v>
      </c>
      <c r="D26" s="3" t="s">
        <v>193</v>
      </c>
      <c r="E26">
        <v>8.9544318025279743</v>
      </c>
      <c r="F26">
        <v>8.9544318025279743</v>
      </c>
      <c r="G26">
        <v>8.9544318025279743</v>
      </c>
      <c r="H26" s="4">
        <f t="shared" si="5"/>
        <v>18.500892153983418</v>
      </c>
      <c r="I26" s="4">
        <f t="shared" si="6"/>
        <v>18.500892153983418</v>
      </c>
      <c r="J26" s="4">
        <f t="shared" si="7"/>
        <v>18.500892153983418</v>
      </c>
    </row>
    <row r="27" spans="1:10" x14ac:dyDescent="0.25">
      <c r="A27" t="s">
        <v>191</v>
      </c>
      <c r="B27">
        <v>49.17</v>
      </c>
      <c r="D27" s="3" t="s">
        <v>212</v>
      </c>
      <c r="E27">
        <v>34.78356913756825</v>
      </c>
      <c r="F27">
        <v>41.66204864642043</v>
      </c>
      <c r="G27">
        <v>35.998048646420436</v>
      </c>
      <c r="H27" s="4">
        <f t="shared" si="5"/>
        <v>70.741446283441633</v>
      </c>
      <c r="I27" s="4">
        <f t="shared" si="6"/>
        <v>84.730625679114155</v>
      </c>
      <c r="J27" s="4">
        <f t="shared" si="7"/>
        <v>73.211406643116604</v>
      </c>
    </row>
    <row r="28" spans="1:10" x14ac:dyDescent="0.25">
      <c r="A28" t="s">
        <v>261</v>
      </c>
      <c r="B28">
        <v>65.2</v>
      </c>
      <c r="D28" s="3" t="s">
        <v>202</v>
      </c>
      <c r="E28">
        <v>3.5776371652779337</v>
      </c>
      <c r="F28">
        <v>9.5314228098794693</v>
      </c>
      <c r="G28">
        <v>4.2394228098794651</v>
      </c>
      <c r="H28" s="4">
        <f t="shared" si="5"/>
        <v>5.4871735663771988</v>
      </c>
      <c r="I28" s="4">
        <f t="shared" si="6"/>
        <v>14.618746640919431</v>
      </c>
      <c r="J28" s="4">
        <f t="shared" si="7"/>
        <v>6.502182223741511</v>
      </c>
    </row>
    <row r="29" spans="1:10" x14ac:dyDescent="0.25">
      <c r="D29" s="3" t="s">
        <v>258</v>
      </c>
      <c r="E29">
        <v>63.385889859243548</v>
      </c>
      <c r="F29">
        <v>134.69283697808822</v>
      </c>
      <c r="G29">
        <v>74.12483697808824</v>
      </c>
    </row>
  </sheetData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C5F31D3EC70A4BBA379F0E9185CF02" ma:contentTypeVersion="20" ma:contentTypeDescription="Een nieuw document maken." ma:contentTypeScope="" ma:versionID="da94ea0006b9453d77f6fcca50e4ae49">
  <xsd:schema xmlns:xsd="http://www.w3.org/2001/XMLSchema" xmlns:xs="http://www.w3.org/2001/XMLSchema" xmlns:p="http://schemas.microsoft.com/office/2006/metadata/properties" xmlns:ns2="2ff8a558-6b8b-4560-9b73-2a820be12feb" xmlns:ns3="15cc4ce0-d389-43a3-be45-9a39f9f41be0" xmlns:ns4="cf1b0dc6-5697-4f8b-a48d-8922715a0347" targetNamespace="http://schemas.microsoft.com/office/2006/metadata/properties" ma:root="true" ma:fieldsID="0404fc9d70297a6160e3129a7d5b3f07" ns2:_="" ns3:_="" ns4:_="">
    <xsd:import namespace="2ff8a558-6b8b-4560-9b73-2a820be12feb"/>
    <xsd:import namespace="15cc4ce0-d389-43a3-be45-9a39f9f41be0"/>
    <xsd:import namespace="cf1b0dc6-5697-4f8b-a48d-8922715a03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8a558-6b8b-4560-9b73-2a820be12f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c4ce0-d389-43a3-be45-9a39f9f41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Afbeeldingtags" ma:readOnly="false" ma:fieldId="{5cf76f15-5ced-4ddc-b409-7134ff3c332f}" ma:taxonomyMulti="true" ma:sspId="d59a7f5f-325b-47d6-83f0-af3703f623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b0dc6-5697-4f8b-a48d-8922715a034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4137405-8d52-455a-b30f-bf863f6c5a87}" ma:internalName="TaxCatchAll" ma:showField="CatchAllData" ma:web="cf1b0dc6-5697-4f8b-a48d-8922715a0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1b0dc6-5697-4f8b-a48d-8922715a0347" xsi:nil="true"/>
    <lcf76f155ced4ddcb4097134ff3c332f xmlns="15cc4ce0-d389-43a3-be45-9a39f9f41b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0CE118-6798-4101-BE87-8DC71EB66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8a558-6b8b-4560-9b73-2a820be12feb"/>
    <ds:schemaRef ds:uri="15cc4ce0-d389-43a3-be45-9a39f9f41be0"/>
    <ds:schemaRef ds:uri="cf1b0dc6-5697-4f8b-a48d-8922715a03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B5F4B5-AB70-4030-9FB8-1B6AFC9460E8}">
  <ds:schemaRefs>
    <ds:schemaRef ds:uri="http://schemas.microsoft.com/office/2006/metadata/properties"/>
    <ds:schemaRef ds:uri="http://schemas.microsoft.com/office/infopath/2007/PartnerControls"/>
    <ds:schemaRef ds:uri="cf1b0dc6-5697-4f8b-a48d-8922715a0347"/>
    <ds:schemaRef ds:uri="15cc4ce0-d389-43a3-be45-9a39f9f41be0"/>
  </ds:schemaRefs>
</ds:datastoreItem>
</file>

<file path=customXml/itemProps3.xml><?xml version="1.0" encoding="utf-8"?>
<ds:datastoreItem xmlns:ds="http://schemas.openxmlformats.org/officeDocument/2006/customXml" ds:itemID="{2BAF7608-E0E9-477A-909B-E77EB66A5A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Rekentool Natuur en landschap</vt:lpstr>
      <vt:lpstr>Boerennatuur</vt:lpstr>
      <vt:lpstr>FrieslandCampina</vt:lpstr>
      <vt:lpstr>Berekening Kpi</vt:lpstr>
      <vt:lpstr>'Rekentool Natuur en landschap'!_Hlk26734426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Canavar</dc:creator>
  <cp:keywords/>
  <dc:description/>
  <cp:lastModifiedBy>Kornelisse, Romae</cp:lastModifiedBy>
  <cp:revision/>
  <dcterms:created xsi:type="dcterms:W3CDTF">2019-09-29T23:59:11Z</dcterms:created>
  <dcterms:modified xsi:type="dcterms:W3CDTF">2022-11-15T13:13:41Z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0x01010009C5F31D3EC70A4BBA379F0E9185CF02</vt:lpwstr>
  </property>
  <property fmtid="{D5CDD505-2E9C-101B-9397-08002B2CF9AE}" pid="3" name="MediaServiceImageTags">
    <vt:lpwstr/>
  </property>
</Properties>
</file>