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MandjesMat\Downloads\"/>
    </mc:Choice>
  </mc:AlternateContent>
  <xr:revisionPtr revIDLastSave="0" documentId="8_{24AB2242-5FAC-4C44-A32F-6F429E5ADFAB}" xr6:coauthVersionLast="47" xr6:coauthVersionMax="47" xr10:uidLastSave="{00000000-0000-0000-0000-000000000000}"/>
  <bookViews>
    <workbookView xWindow="-108" yWindow="-108" windowWidth="23256" windowHeight="12456" activeTab="2" xr2:uid="{0593A75D-F374-9944-8EF9-8DDD37825D33}"/>
  </bookViews>
  <sheets>
    <sheet name="Introductie" sheetId="29" r:id="rId1"/>
    <sheet name="Invloedssfeer &amp; Scope" sheetId="31" r:id="rId2"/>
    <sheet name="Monitor" sheetId="19" r:id="rId3"/>
    <sheet name="Berekeningen" sheetId="18" r:id="rId4"/>
    <sheet name="Berekeningen Groene KPI's" sheetId="28" r:id="rId5"/>
    <sheet name="Grafieken" sheetId="23" state="hidden" r:id="rId6"/>
    <sheet name="Brondata CO2" sheetId="16" r:id="rId7"/>
    <sheet name="Brondata Energie" sheetId="22" r:id="rId8"/>
    <sheet name="Brondata Mobiliteit" sheetId="10" r:id="rId9"/>
    <sheet name="Brondata Woningen" sheetId="9" r:id="rId10"/>
    <sheet name="Brondata Overige broeikasgassen" sheetId="7" r:id="rId11"/>
    <sheet name="Brondata Groene KPI's" sheetId="15" r:id="rId12"/>
    <sheet name="Instructie" sheetId="30" r:id="rId13"/>
  </sheets>
  <externalReferences>
    <externalReference r:id="rId14"/>
  </externalReferences>
  <definedNames>
    <definedName name="Aantal_bomen" comment="Aantal bomen geplant per jaar">_xlfn.XLOOKUP(Monitor!$W$3,'Berekeningen Groene KPI''s'!$C$48:$N$48,'Berekeningen Groene KPI''s'!$C$50:$N$50)</definedName>
    <definedName name="Aantal_duurzamere_autos" comment="Aantal duurzamere auto's" localSheetId="12">OFFSET([1]Berekeningen!$C$72,0,0,1,COUNTIF([1]Berekeningen!$C$72:$N$72,"&gt;0"))</definedName>
    <definedName name="Aantal_duurzamere_autos" comment="Aantal duurzamere auto's" localSheetId="0">OFFSET([1]Berekeningen!$C$72,0,0,1,COUNTIF([1]Berekeningen!$C$72:$N$72,"&gt;0"))</definedName>
    <definedName name="Aantal_duurzamere_autos" comment="Aantal duurzamere auto's">OFFSET(Berekeningen!$C$87,0,0,1,COUNTIF(Berekeningen!$C$87:$N$87,"&gt;0"))</definedName>
    <definedName name="Aantal_niet_duurzame_autos" comment="Aantal niet duurzame auto's" localSheetId="12">OFFSET([1]Berekeningen!$C$73,0,0,1,COUNTIF([1]Berekeningen!$C$73:$N$73,"&gt;0"))</definedName>
    <definedName name="Aantal_niet_duurzame_autos" comment="Aantal niet duurzame auto's" localSheetId="0">OFFSET([1]Berekeningen!$C$73,0,0,1,COUNTIF([1]Berekeningen!$C$73:$N$73,"&gt;0"))</definedName>
    <definedName name="Aantal_niet_duurzame_autos" comment="Aantal niet duurzame auto's">OFFSET(Berekeningen!$C$88,0,0,1,COUNTIF(Berekeningen!$C$88:$N$88,"&gt;0"))</definedName>
    <definedName name="_xlnm.Print_Area" localSheetId="2">Monitor!$C$1:$X$90</definedName>
    <definedName name="Afname_restafval" comment="% afname van restafval">_xlfn.XLOOKUP(Monitor!$W$3,Berekeningen!$C$129:$N$129,Berekeningen!$C$131:$N$131)</definedName>
    <definedName name="Auto_elektrisch" comment="Aantal elektrische auto's">OFFSET(Berekeningen!$C$82,0,0,1,COUNTIF(Berekeningen!$C$82:$N$82,"&gt;0"))</definedName>
    <definedName name="Auto_hybride" comment="Aantal hybride auto's">OFFSET(Berekeningen!$C$83,0,0,1,COUNTIF(Berekeningen!$C$83:$N$83,"&gt;0"))</definedName>
    <definedName name="Auto_waterstof" comment="Aantal auto's op waterstof">OFFSET(Berekeningen!$C$84,0,0,1,COUNTIF(Berekeningen!$C$84:$N$84,"&gt;0"))</definedName>
    <definedName name="Buurten" comment="Filter voor groene KPI's">'Berekeningen Groene KPI''s'!$B$5:$B$40</definedName>
    <definedName name="Cumulatif_bomen" comment="Cumilatif aantal bomen vanaf 2019">_xlfn.XLOOKUP(Monitor!$W$3,'Berekeningen Groene KPI''s'!$C$48:$N$48,'Berekeningen Groene KPI''s'!$C$52:$N$52)</definedName>
    <definedName name="duurzamere_verwarming" comment="% duurzamere verwarming">_xlfn.XLOOKUP(Monitor!$W$3,Berekeningen!$C$114:$N$114,Berekeningen!$C$120:$N$120)</definedName>
    <definedName name="Elektrisch" comment="Elektrische voertuigen" localSheetId="12">OFFSET([1]Berekeningen!$C$67,0,0,1,COUNTIF([1]Berekeningen!$C$67:$N$67,"&gt;0"))</definedName>
    <definedName name="Elektrisch" comment="Elektrische voertuigen" localSheetId="0">OFFSET([1]Berekeningen!$C$67,0,0,1,COUNTIF([1]Berekeningen!$C$67:$N$67,"&gt;0"))</definedName>
    <definedName name="Elektrisch" comment="Elektrische voertuigen">OFFSET(Berekeningen!$C$82,0,0,1,COUNTIF(Berekeningen!$C$82:$N$82,"&gt;0"))</definedName>
    <definedName name="Gebouwde_Omgeving" comment="CO2-uitstoot" localSheetId="12">OFFSET([1]Berekeningen!$C$5, 0, 0, 1, COUNTIF([1]Berekeningen!$C$5:$N$5,"&gt;0"))</definedName>
    <definedName name="Gebouwde_Omgeving" comment="CO2-uitstoot" localSheetId="0">OFFSET([1]Berekeningen!$C$5, 0, 0, 1, COUNTIF([1]Berekeningen!$C$5:$N$5,"&gt;0"))</definedName>
    <definedName name="Gebouwde_Omgeving" comment="CO2-uitstoot">OFFSET(Berekeningen!$C$5, 0, 0, 1, COUNTIF(Berekeningen!$C$5:$N$5,"&gt;0"))</definedName>
    <definedName name="Gekapte_bomen">OFFSET('Berekeningen Groene KPI''s'!$C$49,0,0,1,COUNTIF('Berekeningen Groene KPI''s'!$C$49:$N$49,"&gt;0"))</definedName>
    <definedName name="Geplante_bomen">OFFSET('Berekeningen Groene KPI''s'!$C$50,0,0,1,COUNTIF('Berekeningen Groene KPI''s'!$C$50:$N$50,"&gt;0"))</definedName>
    <definedName name="GO_procentuele_afname" comment="Gebouwde omgeving: procentuele afname t.o.v. 2019" localSheetId="12">_xlfn.XLOOKUP([1]Monitor!$Z$3,[1]Berekeningen!$C$14:$N$14,[1]Berekeningen!$C$20:$N$20)</definedName>
    <definedName name="GO_procentuele_afname" comment="Gebouwde omgeving: procentuele afname t.o.v. 2019" localSheetId="0">_xlfn.XLOOKUP([1]Monitor!$Z$3,[1]Berekeningen!$C$14:$N$14,[1]Berekeningen!$C$20:$N$20)</definedName>
    <definedName name="GO_procentuele_afname" comment="Gebouwde omgeving: procentuele afname t.o.v. 2019">_xlfn.XLOOKUP(Monitor!$W$3,Berekeningen!$C$14:$N$14,Berekeningen!$C$20:$N$20)</definedName>
    <definedName name="Hernieuwbare_elektriciteit" comment="Energieverbruik" localSheetId="12">OFFSET([1]Berekeningen!$C$48,0,0,1,COUNTIF([1]Berekeningen!$C$48:$N$48,"&gt;0"))</definedName>
    <definedName name="Hernieuwbare_elektriciteit" comment="Energieverbruik" localSheetId="0">OFFSET([1]Berekeningen!$C$48,0,0,1,COUNTIF([1]Berekeningen!$C$48:$N$48,"&gt;0"))</definedName>
    <definedName name="Hernieuwbare_elektriciteit" comment="Energieverbruik">OFFSET(Berekeningen!$C$62,0,0,1,COUNTIF(Berekeningen!$C$62:$N$62,"&gt;0"))</definedName>
    <definedName name="Hernieuwbare_energie_voor_verkeer_en_vervoer" comment="Energieverbruik" localSheetId="12">OFFSET([1]Berekeningen!$C$50,0,0,1,COUNTIF([1]Berekeningen!$C$50:$N$50,"&gt;0"))</definedName>
    <definedName name="Hernieuwbare_energie_voor_verkeer_en_vervoer" comment="Energieverbruik" localSheetId="0">OFFSET([1]Berekeningen!$C$50,0,0,1,COUNTIF([1]Berekeningen!$C$50:$N$50,"&gt;0"))</definedName>
    <definedName name="Hernieuwbare_energie_voor_verkeer_en_vervoer" comment="Energieverbruik">OFFSET(Berekeningen!$C$64,0,0,1,COUNTIF(Berekeningen!$C$64:$N$64,"&gt;0"))</definedName>
    <definedName name="Hernieuwbare_warmte" comment="Energieverbruik" localSheetId="12">OFFSET([1]Berekeningen!$C$49,0,0,1,COUNTIF([1]Berekeningen!$C$49:$N$49,"&gt;0"))</definedName>
    <definedName name="Hernieuwbare_warmte" comment="Energieverbruik" localSheetId="0">OFFSET([1]Berekeningen!$C$49,0,0,1,COUNTIF([1]Berekeningen!$C$49:$N$49,"&gt;0"))</definedName>
    <definedName name="Hernieuwbare_warmte" comment="Energieverbruik">OFFSET(Berekeningen!$C$63,0,0,1,COUNTIF(Berekeningen!$C$63:$N$63,"&gt;0"))</definedName>
    <definedName name="Hybride" comment="Plug-in hybride voertuigen" localSheetId="12">OFFSET([1]Berekeningen!$C$68,0,0,1,COUNTIF([1]Berekeningen!$C$68:$N$68,"&gt;0"))</definedName>
    <definedName name="Hybride" comment="Plug-in hybride voertuigen" localSheetId="0">OFFSET([1]Berekeningen!$C$68,0,0,1,COUNTIF([1]Berekeningen!$C$68:$N$68,"&gt;0"))</definedName>
    <definedName name="Hybride" comment="Plug-in hybride voertuigen">OFFSET(Berekeningen!$C$83,0,0,1,COUNTIF(Berekeningen!$C$83:$N$83,"&gt;0"))</definedName>
    <definedName name="I_procentuele_afname" comment="Industrie procentuele afname t.o.v. 2019" localSheetId="12">_xlfn.XLOOKUP([1]Monitor!$Z$3,[1]Berekeningen!$C$32:$N$32,[1]Berekeningen!$C$35:$N$35)</definedName>
    <definedName name="I_procentuele_afname" comment="Industrie procentuele afname t.o.v. 2019" localSheetId="0">_xlfn.XLOOKUP([1]Monitor!$Z$3,[1]Berekeningen!$C$32:$N$32,[1]Berekeningen!$C$35:$N$35)</definedName>
    <definedName name="I_procentuele_afname" comment="Industrie procentuele afname t.o.v. 2019">_xlfn.XLOOKUP(Monitor!$W$3,Berekeningen!$C$32:$N$32,Berekeningen!$C$35:$N$35)</definedName>
    <definedName name="Industrie" comment="CO2- uitstoot" localSheetId="12">OFFSET([1]Berekeningen!$C$7, 0, 0, 1, COUNTIF([1]Berekeningen!$C$5:$N$5,"&gt;0"))</definedName>
    <definedName name="Industrie" comment="CO2- uitstoot" localSheetId="0">OFFSET([1]Berekeningen!$C$7, 0, 0, 1, COUNTIF([1]Berekeningen!$C$5:$N$5,"&gt;0"))</definedName>
    <definedName name="Industrie" comment="CO2- uitstoot">OFFSET(Berekeningen!$C$7, 0, 0, 1, COUNTIF(Berekeningen!$C$5:$N$5,"&gt;0"))</definedName>
    <definedName name="Jaren_Brondata" localSheetId="12">OFFSET('[1]Brondata CO2'!$C$8, 0, 0, 1, COUNTA('[1]Brondata CO2'!$C$8:$Z$8))</definedName>
    <definedName name="Jaren_Brondata" localSheetId="0">OFFSET('[1]Brondata CO2'!$C$8, 0, 0, 1, COUNTA('[1]Brondata CO2'!$C$8:$Z$8))</definedName>
    <definedName name="Jaren_Brondata">OFFSET('Brondata CO2'!$C$8, 0, 0, 1, COUNTA('Brondata CO2'!$C$8:$Z$8))</definedName>
    <definedName name="kg_restafval" comment="kg restafval per inwoner">_xlfn.XLOOKUP(Monitor!$W$3,Berekeningen!$C$129:$N$129,Berekeningen!$C$130:$N$130)</definedName>
    <definedName name="Laadpunten" comment="Aantal laadpunten totaal " localSheetId="12">_xlfn.XLOOKUP([1]Monitor!$Z$3,[1]Berekeningen!$C$76:$N$76,[1]Berekeningen!$C$81:$N$81)</definedName>
    <definedName name="Laadpunten" comment="Aantal laadpunten totaal " localSheetId="0">_xlfn.XLOOKUP([1]Monitor!$Z$3,[1]Berekeningen!$C$76:$N$76,[1]Berekeningen!$C$81:$N$81)</definedName>
    <definedName name="Laadpunten" comment="Aantal laadpunten totaal ">_xlfn.XLOOKUP(Monitor!$W$3,Berekeningen!$C$91:$N$91,Berekeningen!$C$96:$N$96)</definedName>
    <definedName name="Oosterwijk">Monitor!$S$76</definedName>
    <definedName name="Opwek_zonnestroom" comment="Opwek zonnestroom" localSheetId="12">_xlfn.XLOOKUP([1]Monitor!$Z$3,[1]Berekeningen!$C$54:$N$54,[1]Berekeningen!$C$55:$N$55)</definedName>
    <definedName name="Opwek_zonnestroom" comment="Opwek zonnestroom" localSheetId="0">_xlfn.XLOOKUP([1]Monitor!$Z$3,[1]Berekeningen!$C$54:$N$54,[1]Berekeningen!$C$55:$N$55)</definedName>
    <definedName name="Opwek_zonnestroom" comment="Opwek zonnestroom">_xlfn.XLOOKUP(Monitor!$W$3,Berekeningen!$C$68:$N$68,Berekeningen!$C$69:$N$69)</definedName>
    <definedName name="Percentage_woningen_van_gas_af" comment="Woningen van het gas af ten opzichten van woningen met gas">_xlfn.XLOOKUP(Monitor!$W$3,Berekeningen!$C$123:$N$123,Berekeningen!$C$127:$N$127)</definedName>
    <definedName name="Personenauto_aardgas" comment="Personenauto's op aardgas" localSheetId="12">OFFSET([1]Berekeningen!$C$70,0,0,1,COUNTIF([1]Berekeningen!$C$70:$N$70,"&gt;0"))</definedName>
    <definedName name="Personenauto_aardgas" comment="Personenauto's op aardgas" localSheetId="0">OFFSET([1]Berekeningen!$C$70,0,0,1,COUNTIF([1]Berekeningen!$C$70:$N$70,"&gt;0"))</definedName>
    <definedName name="Personenauto_aardgas" comment="Personenauto's op aardgas">OFFSET(Berekeningen!$C$85,0,0,1,COUNTIF(Berekeningen!$C$85:$N$85,"&gt;0"))</definedName>
    <definedName name="toename_duurzamere_autos" comment="% toenamen van duurzamen auto's">_xlfn.XLOOKUP(Monitor!$W$3,Berekeningen!$C$79:$N$79,Berekeningen!$C$89:$N$89)</definedName>
    <definedName name="Toename_laadpunten">_xlfn.XLOOKUP(Monitor!$W$3,Berekeningen!$C$91:$N$91,Berekeningen!$C$97:$N$97)</definedName>
    <definedName name="Toename_woningen_zonnepanelen" comment="% toename van woningen met zonnepanelene">_xlfn.XLOOKUP(Monitor!$W$3,Berekeningen!$C$68:$N$68,Berekeningen!$C$75:$N$75)</definedName>
    <definedName name="Totaal_aantal_autos" comment="Totaal aantal auto's" localSheetId="12">OFFSET([1]Berekeningen!$C$71,0,0,1,COUNTIF([1]Berekeningen!$C$71:$N$71,"&gt;0"))</definedName>
    <definedName name="Totaal_aantal_autos" comment="Totaal aantal auto's" localSheetId="0">OFFSET([1]Berekeningen!$C$71,0,0,1,COUNTIF([1]Berekeningen!$C$71:$N$71,"&gt;0"))</definedName>
    <definedName name="Totaal_aantal_autos" comment="Totaal aantal auto's">OFFSET(Berekeningen!$C$86,0,0,1,COUNTIF(Berekeningen!$C$86:$N$86,"&gt;0"))</definedName>
    <definedName name="Totaal_aantal_laadpunten" comment="Totaal aantal (semi)publike laadpunten" localSheetId="12">OFFSET([1]Berekeningen!$C$81,0,0,1,COUNTIF([1]Berekeningen!$C$81:$N$81,"&gt;0"))</definedName>
    <definedName name="Totaal_aantal_laadpunten" comment="Totaal aantal (semi)publike laadpunten" localSheetId="0">OFFSET([1]Berekeningen!$C$81,0,0,1,COUNTIF([1]Berekeningen!$C$81:$N$81,"&gt;0"))</definedName>
    <definedName name="Totaal_aantal_laadpunten" comment="Totaal aantal (semi)publike laadpunten">OFFSET(Berekeningen!$C$96,0,0,1,COUNTIF(Berekeningen!$C$96:$N$96,"&gt;0"))</definedName>
    <definedName name="Totaal_bekende_hernieuwbare_energie" comment="Energieverbruik" localSheetId="12">OFFSET([1]Berekeningen!$C$47,0,0,1,COUNTIF([1]Berekeningen!$C$47:$N$47,"&gt;0"))</definedName>
    <definedName name="Totaal_bekende_hernieuwbare_energie" comment="Energieverbruik" localSheetId="0">OFFSET([1]Berekeningen!$C$47,0,0,1,COUNTIF([1]Berekeningen!$C$47:$N$47,"&gt;0"))</definedName>
    <definedName name="Totaal_bekende_hernieuwbare_energie" comment="Energieverbruik">OFFSET(Berekeningen!$C$61,0,0,1,COUNTIF(Berekeningen!$C$61:$N$61,"&gt;0"))</definedName>
    <definedName name="Totaal_niet_hernieuwbare_energieverbruik" comment="Energieverbruik" localSheetId="12">OFFSET([1]Berekeningen!$C$46,0,0,1,COUNTIF([1]Berekeningen!$C$46:$N$46,"&gt;0"))</definedName>
    <definedName name="Totaal_niet_hernieuwbare_energieverbruik" comment="Energieverbruik" localSheetId="0">OFFSET([1]Berekeningen!$C$46,0,0,1,COUNTIF([1]Berekeningen!$C$46:$N$46,"&gt;0"))</definedName>
    <definedName name="Totaal_niet_hernieuwbare_energieverbruik" comment="Energieverbruik">OFFSET(Berekeningen!$C$60,0,0,1,COUNTIF(Berekeningen!$C$60:$N$60,"&gt;0"))</definedName>
    <definedName name="Verkeer_vervoer" comment="CO2-uitstoot" localSheetId="12">OFFSET([1]Berekeningen!$C$6, 0, 0, 1, COUNTIF([1]Berekeningen!$C$5:$N$5,"&gt;0"))</definedName>
    <definedName name="Verkeer_vervoer" comment="CO2-uitstoot" localSheetId="0">OFFSET([1]Berekeningen!$C$6, 0, 0, 1, COUNTIF([1]Berekeningen!$C$5:$N$5,"&gt;0"))</definedName>
    <definedName name="Verkeer_vervoer" comment="CO2-uitstoot">OFFSET(Berekeningen!$C$6, 0, 0, 1, COUNTIF(Berekeningen!$C$5:$N$5,"&gt;0"))</definedName>
    <definedName name="Verwarming_aardgas" comment="Aantal woningen met verwarming op gas" localSheetId="12">OFFSET([1]Berekeningen!$C$100,0,0,1,COUNTIF([1]Berekeningen!$C$100:$N$100,"&gt;0"))</definedName>
    <definedName name="Verwarming_aardgas" comment="Aantal woningen met verwarming op gas" localSheetId="0">OFFSET([1]Berekeningen!$C$100,0,0,1,COUNTIF([1]Berekeningen!$C$100:$N$100,"&gt;0"))</definedName>
    <definedName name="Verwarming_aardgas" comment="Aantal woningen met verwarming op gas">OFFSET(Berekeningen!$C$115,0,0,1,COUNTIF(Berekeningen!$C$115:$N$115,"&gt;0"))</definedName>
    <definedName name="Verwarming_elektrisch" comment="Aantal woningen met elektrischer verwarming" localSheetId="12">OFFSET([1]Berekeningen!$C$102,0,0,1,COUNTIF([1]Berekeningen!$C$102:$N$102,"&gt;0"))</definedName>
    <definedName name="Verwarming_elektrisch" comment="Aantal woningen met elektrischer verwarming" localSheetId="0">OFFSET([1]Berekeningen!$C$102,0,0,1,COUNTIF([1]Berekeningen!$C$102:$N$102,"&gt;0"))</definedName>
    <definedName name="Verwarming_elektrisch" comment="Aantal woningen met elektrischer verwarming">OFFSET(Berekeningen!$C$117,0,0,1,COUNTIF(Berekeningen!$C$117:$N$117,"&gt;0"))</definedName>
    <definedName name="Verwarming_onbekend" comment="Aantal wonignen waar verwarmingistallatie onbekend is" localSheetId="12">OFFSET([1]Berekeningen!$C$103,0,0,1,COUNTIF([1]Berekeningen!$C$103:$N$103,"&gt;0"))</definedName>
    <definedName name="Verwarming_onbekend" comment="Aantal wonignen waar verwarmingistallatie onbekend is" localSheetId="0">OFFSET([1]Berekeningen!$C$103,0,0,1,COUNTIF([1]Berekeningen!$C$103:$N$103,"&gt;0"))</definedName>
    <definedName name="Verwarming_onbekend" comment="Aantal wonignen waar verwarmingistallatie onbekend is">OFFSET(Berekeningen!$C$118,0,0,1,COUNTIF(Berekeningen!$C$118:$N$118,"&gt;0"))</definedName>
    <definedName name="Verwarming_stadsverwarming" comment="Aantal woningen met stadsverwarming" localSheetId="12">OFFSET([1]Berekeningen!$C$101,0,0,1,COUNT([1]Berekeningen!$C$101:$N$101))</definedName>
    <definedName name="Verwarming_stadsverwarming" comment="Aantal woningen met stadsverwarming" localSheetId="0">OFFSET([1]Berekeningen!$C$101,0,0,1,COUNT([1]Berekeningen!$C$101:$N$101))</definedName>
    <definedName name="Verwarming_stadsverwarming" comment="Aantal woningen met stadsverwarming">OFFSET(Berekeningen!$C$116,0,0,1,COUNT(Berekeningen!$C$116:$N$116))</definedName>
    <definedName name="VeV_procentuele_afname" comment="Verkeer en vervoer procentuele afname t.o.v. 019" localSheetId="12">_xlfn.XLOOKUP([1]Monitor!$Z$3,[1]Berekeningen!$C$23:$N$23,[1]Berekeningen!$C$29:$N$29)</definedName>
    <definedName name="VeV_procentuele_afname" comment="Verkeer en vervoer procentuele afname t.o.v. 019" localSheetId="0">_xlfn.XLOOKUP([1]Monitor!$Z$3,[1]Berekeningen!$C$23:$N$23,[1]Berekeningen!$C$29:$N$29)</definedName>
    <definedName name="VeV_procentuele_afname" comment="Verkeer en vervoer procentuele afname t.o.v. 019">_xlfn.XLOOKUP(Monitor!$W$3,Berekeningen!$C$23:$N$23,Berekeningen!$C$29:$N$29)</definedName>
    <definedName name="Waterstof_auto" comment="Waterstof auto" localSheetId="12">OFFSET([1]Berekeningen!$C$69,0,0,1,COUNTIF([1]Berekeningen!$C$69:$N$69,"&gt;0"))</definedName>
    <definedName name="Waterstof_auto" comment="Waterstof auto" localSheetId="0">OFFSET([1]Berekeningen!$C$69,0,0,1,COUNTIF([1]Berekeningen!$C$69:$N$69,"&gt;0"))</definedName>
    <definedName name="Waterstof_auto" comment="Waterstof auto">OFFSET(Berekeningen!$C$84,0,0,1,COUNTIF(Berekeningen!$C$84:$N$84,"&gt;0"))</definedName>
    <definedName name="Woningen_met_zonnepanelen" comment="Aantal woningen met zonnepanelen">_xlfn.XLOOKUP(Monitor!$W$3,Berekeningen!$C$68:$N$68,Berekeningen!$C$74:$N$74)</definedName>
    <definedName name="Woningen_totaal">_xlfn.XLOOKUP(Monitor!$W$3,Berekeningen!$C$101:$N$101,Berekeningen!$C$102:$N$102)</definedName>
    <definedName name="Woningen_van_gas_af" comment="Aantal woningen van het gas af">_xlfn.XLOOKUP(Monitor!$W$3,Berekeningen!$C$123:$N$123,Berekeningen!$C$125:$N$125)</definedName>
    <definedName name="Zonnestrom_opwek" comment="Opwek zonnestrom" localSheetId="12">OFFSET([1]Berekeningen!$C$55,0,0,1,COUNTIF([1]Berekeningen!$C$55:$N$55,"&gt;0"))</definedName>
    <definedName name="Zonnestrom_opwek" comment="Opwek zonnestrom" localSheetId="0">OFFSET([1]Berekeningen!$C$55,0,0,1,COUNTIF([1]Berekeningen!$C$55:$N$55,"&gt;0"))</definedName>
    <definedName name="Zonnestrom_opwek" comment="Opwek zonnestrom">OFFSET(Berekeningen!$C$69,0,0,1,COUNTIF(Berekeningen!$C$69:$N$69,"&gt;0"))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18" l="1"/>
  <c r="F117" i="18" a="1"/>
  <c r="F117" i="18"/>
  <c r="G60" i="18"/>
  <c r="G10" i="18"/>
  <c r="H11" i="22"/>
  <c r="H12" i="22"/>
  <c r="H13" i="22"/>
  <c r="H14" i="22"/>
  <c r="H10" i="22"/>
  <c r="H53" i="22"/>
  <c r="H52" i="22"/>
  <c r="H51" i="22"/>
  <c r="H50" i="22"/>
  <c r="H56" i="22"/>
  <c r="D55" i="22"/>
  <c r="G55" i="22"/>
  <c r="F55" i="22"/>
  <c r="E55" i="22"/>
  <c r="H49" i="22"/>
  <c r="H55" i="22"/>
  <c r="G9" i="18"/>
  <c r="G49" i="28" a="1"/>
  <c r="G49" i="28"/>
  <c r="G35" i="18"/>
  <c r="G10" i="10"/>
  <c r="C127" i="16"/>
  <c r="G12" i="16"/>
  <c r="C12" i="16"/>
  <c r="D124" i="18"/>
  <c r="E124" i="18"/>
  <c r="F124" i="18"/>
  <c r="G124" i="18"/>
  <c r="H124" i="18"/>
  <c r="I124" i="18"/>
  <c r="J124" i="18"/>
  <c r="K124" i="18"/>
  <c r="L124" i="18"/>
  <c r="M124" i="18"/>
  <c r="N124" i="18"/>
  <c r="C124" i="18"/>
  <c r="C125" i="18"/>
  <c r="B38" i="23"/>
  <c r="D38" i="23"/>
  <c r="D125" i="18"/>
  <c r="C38" i="23"/>
  <c r="H38" i="23"/>
  <c r="G38" i="23"/>
  <c r="F38" i="23"/>
  <c r="E38" i="23"/>
  <c r="D50" i="28" a="1"/>
  <c r="D50" i="28"/>
  <c r="E50" i="28" a="1"/>
  <c r="E50" i="28"/>
  <c r="F50" i="28" a="1"/>
  <c r="F50" i="28"/>
  <c r="G50" i="28" a="1"/>
  <c r="G50" i="28"/>
  <c r="H50" i="28" a="1"/>
  <c r="H50" i="28"/>
  <c r="I50" i="28" a="1"/>
  <c r="I50" i="28"/>
  <c r="J50" i="28" a="1"/>
  <c r="J50" i="28"/>
  <c r="K50" i="28" a="1"/>
  <c r="K50" i="28"/>
  <c r="L50" i="28" a="1"/>
  <c r="L50" i="28"/>
  <c r="M50" i="28" a="1"/>
  <c r="M50" i="28"/>
  <c r="N50" i="28" a="1"/>
  <c r="N50" i="28"/>
  <c r="C50" i="28" a="1"/>
  <c r="C50" i="28"/>
  <c r="D49" i="28" a="1"/>
  <c r="D49" i="28"/>
  <c r="E49" i="28" a="1"/>
  <c r="E49" i="28"/>
  <c r="F49" i="28" a="1"/>
  <c r="F49" i="28"/>
  <c r="H49" i="28" a="1"/>
  <c r="H49" i="28"/>
  <c r="I49" i="28" a="1"/>
  <c r="I49" i="28"/>
  <c r="J49" i="28" a="1"/>
  <c r="J49" i="28"/>
  <c r="K49" i="28" a="1"/>
  <c r="K49" i="28"/>
  <c r="L49" i="28" a="1"/>
  <c r="L49" i="28"/>
  <c r="M49" i="28" a="1"/>
  <c r="M49" i="28"/>
  <c r="N49" i="28" a="1"/>
  <c r="N49" i="28"/>
  <c r="C49" i="28" a="1"/>
  <c r="C49" i="28"/>
  <c r="E125" i="18"/>
  <c r="D126" i="18"/>
  <c r="D51" i="28"/>
  <c r="D52" i="28"/>
  <c r="E52" i="28"/>
  <c r="F52" i="28"/>
  <c r="G52" i="28"/>
  <c r="H52" i="28"/>
  <c r="I52" i="28"/>
  <c r="J52" i="28"/>
  <c r="K52" i="28"/>
  <c r="L52" i="28"/>
  <c r="M52" i="28"/>
  <c r="N52" i="28"/>
  <c r="N51" i="28"/>
  <c r="G51" i="28"/>
  <c r="F51" i="28"/>
  <c r="K51" i="28"/>
  <c r="C52" i="28"/>
  <c r="L51" i="28"/>
  <c r="J51" i="28"/>
  <c r="I51" i="28"/>
  <c r="M51" i="28"/>
  <c r="E51" i="28"/>
  <c r="C51" i="28"/>
  <c r="H51" i="28"/>
  <c r="D130" i="18" a="1"/>
  <c r="D130" i="18"/>
  <c r="E130" i="18" a="1"/>
  <c r="E130" i="18"/>
  <c r="F130" i="18" a="1"/>
  <c r="F130" i="18"/>
  <c r="G130" i="18" a="1"/>
  <c r="G130" i="18"/>
  <c r="H130" i="18" a="1"/>
  <c r="H130" i="18"/>
  <c r="I130" i="18" a="1"/>
  <c r="I130" i="18"/>
  <c r="J130" i="18" a="1"/>
  <c r="J130" i="18"/>
  <c r="K130" i="18" a="1"/>
  <c r="K130" i="18"/>
  <c r="L130" i="18" a="1"/>
  <c r="L130" i="18"/>
  <c r="M130" i="18" a="1"/>
  <c r="M130" i="18"/>
  <c r="N130" i="18" a="1"/>
  <c r="N130" i="18"/>
  <c r="C130" i="18" a="1"/>
  <c r="C130" i="18"/>
  <c r="F74" i="18" a="1"/>
  <c r="F74" i="18"/>
  <c r="E74" i="18" a="1"/>
  <c r="E74" i="18"/>
  <c r="D74" i="18" a="1"/>
  <c r="D74" i="18"/>
  <c r="C74" i="18" a="1"/>
  <c r="C74" i="18"/>
  <c r="G74" i="18" a="1"/>
  <c r="G74" i="18"/>
  <c r="H74" i="18" a="1"/>
  <c r="H74" i="18"/>
  <c r="I74" i="18" a="1"/>
  <c r="I74" i="18"/>
  <c r="J74" i="18" a="1"/>
  <c r="J74" i="18"/>
  <c r="K74" i="18" a="1"/>
  <c r="K74" i="18"/>
  <c r="L74" i="18" a="1"/>
  <c r="L74" i="18"/>
  <c r="M74" i="18" a="1"/>
  <c r="M74" i="18"/>
  <c r="N74" i="18" a="1"/>
  <c r="N74" i="18"/>
  <c r="G131" i="18"/>
  <c r="F131" i="18"/>
  <c r="E131" i="18"/>
  <c r="D131" i="18"/>
  <c r="M131" i="18"/>
  <c r="N75" i="18"/>
  <c r="D75" i="18"/>
  <c r="F125" i="18"/>
  <c r="E126" i="18"/>
  <c r="J75" i="18"/>
  <c r="K131" i="18"/>
  <c r="L131" i="18"/>
  <c r="J131" i="18"/>
  <c r="I131" i="18"/>
  <c r="N131" i="18"/>
  <c r="H131" i="18"/>
  <c r="I75" i="18"/>
  <c r="H75" i="18"/>
  <c r="K75" i="18"/>
  <c r="F75" i="18"/>
  <c r="G75" i="18"/>
  <c r="M75" i="18"/>
  <c r="E75" i="18"/>
  <c r="L75" i="18"/>
  <c r="G125" i="18"/>
  <c r="F126" i="18"/>
  <c r="C47" i="23"/>
  <c r="C42" i="23"/>
  <c r="C41" i="28" a="1"/>
  <c r="C41" i="28"/>
  <c r="D41" i="28" a="1"/>
  <c r="D41" i="28"/>
  <c r="E41" i="28" a="1"/>
  <c r="E41" i="28"/>
  <c r="F41" i="28" a="1"/>
  <c r="F41" i="28"/>
  <c r="G41" i="28" a="1"/>
  <c r="G41" i="28"/>
  <c r="H41" i="28" a="1"/>
  <c r="H41" i="28"/>
  <c r="C10" i="28" a="1"/>
  <c r="C10" i="28"/>
  <c r="D10" i="28" a="1"/>
  <c r="D10" i="28"/>
  <c r="E10" i="28" a="1"/>
  <c r="E10" i="28"/>
  <c r="F10" i="28" a="1"/>
  <c r="F10" i="28"/>
  <c r="G10" i="28" a="1"/>
  <c r="G10" i="28"/>
  <c r="H10" i="28" a="1"/>
  <c r="H10" i="28"/>
  <c r="C33" i="28" a="1"/>
  <c r="C33" i="28"/>
  <c r="D33" i="28" a="1"/>
  <c r="D33" i="28"/>
  <c r="E33" i="28" a="1"/>
  <c r="E33" i="28"/>
  <c r="F33" i="28" a="1"/>
  <c r="F33" i="28"/>
  <c r="G33" i="28" a="1"/>
  <c r="G33" i="28"/>
  <c r="H33" i="28" a="1"/>
  <c r="H33" i="28"/>
  <c r="C37" i="28" a="1"/>
  <c r="C37" i="28"/>
  <c r="D37" i="28" a="1"/>
  <c r="D37" i="28"/>
  <c r="E37" i="28" a="1"/>
  <c r="E37" i="28"/>
  <c r="F37" i="28" a="1"/>
  <c r="F37" i="28"/>
  <c r="G37" i="28" a="1"/>
  <c r="G37" i="28"/>
  <c r="H37" i="28" a="1"/>
  <c r="H37" i="28"/>
  <c r="C7" i="28" a="1"/>
  <c r="C7" i="28"/>
  <c r="D7" i="28" a="1"/>
  <c r="D7" i="28"/>
  <c r="E7" i="28" a="1"/>
  <c r="E7" i="28"/>
  <c r="F7" i="28" a="1"/>
  <c r="F7" i="28"/>
  <c r="G7" i="28" a="1"/>
  <c r="G7" i="28"/>
  <c r="H7" i="28" a="1"/>
  <c r="H7" i="28"/>
  <c r="C13" i="28" a="1"/>
  <c r="C13" i="28"/>
  <c r="D13" i="28" a="1"/>
  <c r="D13" i="28"/>
  <c r="E13" i="28" a="1"/>
  <c r="E13" i="28"/>
  <c r="F13" i="28" a="1"/>
  <c r="F13" i="28"/>
  <c r="G13" i="28" a="1"/>
  <c r="G13" i="28"/>
  <c r="H13" i="28" a="1"/>
  <c r="H13" i="28"/>
  <c r="C19" i="28" a="1"/>
  <c r="C19" i="28"/>
  <c r="D19" i="28" a="1"/>
  <c r="D19" i="28"/>
  <c r="E19" i="28" a="1"/>
  <c r="E19" i="28"/>
  <c r="F19" i="28" a="1"/>
  <c r="F19" i="28"/>
  <c r="G19" i="28" a="1"/>
  <c r="G19" i="28"/>
  <c r="H19" i="28" a="1"/>
  <c r="H19" i="28"/>
  <c r="C25" i="28" a="1"/>
  <c r="C25" i="28"/>
  <c r="D25" i="28" a="1"/>
  <c r="D25" i="28"/>
  <c r="E25" i="28" a="1"/>
  <c r="E25" i="28"/>
  <c r="F25" i="28" a="1"/>
  <c r="F25" i="28"/>
  <c r="G25" i="28" a="1"/>
  <c r="G25" i="28"/>
  <c r="H25" i="28" a="1"/>
  <c r="H25" i="28"/>
  <c r="C34" i="28" a="1"/>
  <c r="C34" i="28"/>
  <c r="D34" i="28" a="1"/>
  <c r="D34" i="28"/>
  <c r="E34" i="28" a="1"/>
  <c r="E34" i="28"/>
  <c r="F34" i="28" a="1"/>
  <c r="F34" i="28"/>
  <c r="G34" i="28" a="1"/>
  <c r="G34" i="28"/>
  <c r="H34" i="28" a="1"/>
  <c r="H34" i="28"/>
  <c r="C31" i="28" a="1"/>
  <c r="C31" i="28"/>
  <c r="D31" i="28" a="1"/>
  <c r="D31" i="28"/>
  <c r="E31" i="28" a="1"/>
  <c r="E31" i="28"/>
  <c r="F31" i="28" a="1"/>
  <c r="F31" i="28"/>
  <c r="G31" i="28" a="1"/>
  <c r="G31" i="28"/>
  <c r="H31" i="28" a="1"/>
  <c r="H31" i="28"/>
  <c r="C24" i="28" a="1"/>
  <c r="C24" i="28"/>
  <c r="D24" i="28" a="1"/>
  <c r="D24" i="28"/>
  <c r="E24" i="28" a="1"/>
  <c r="E24" i="28"/>
  <c r="F24" i="28" a="1"/>
  <c r="F24" i="28"/>
  <c r="G24" i="28" a="1"/>
  <c r="G24" i="28"/>
  <c r="H24" i="28" a="1"/>
  <c r="H24" i="28"/>
  <c r="C36" i="28" a="1"/>
  <c r="C36" i="28"/>
  <c r="D36" i="28" a="1"/>
  <c r="D36" i="28"/>
  <c r="E36" i="28" a="1"/>
  <c r="E36" i="28"/>
  <c r="F36" i="28" a="1"/>
  <c r="F36" i="28"/>
  <c r="G36" i="28" a="1"/>
  <c r="G36" i="28"/>
  <c r="H36" i="28" a="1"/>
  <c r="H36" i="28"/>
  <c r="C40" i="28" a="1"/>
  <c r="C40" i="28"/>
  <c r="D40" i="28" a="1"/>
  <c r="D40" i="28"/>
  <c r="E40" i="28" a="1"/>
  <c r="E40" i="28"/>
  <c r="F40" i="28" a="1"/>
  <c r="F40" i="28"/>
  <c r="G40" i="28" a="1"/>
  <c r="G40" i="28"/>
  <c r="H40" i="28" a="1"/>
  <c r="H40" i="28"/>
  <c r="C20" i="28" a="1"/>
  <c r="C20" i="28"/>
  <c r="D20" i="28" a="1"/>
  <c r="D20" i="28"/>
  <c r="E20" i="28" a="1"/>
  <c r="E20" i="28"/>
  <c r="F20" i="28" a="1"/>
  <c r="F20" i="28"/>
  <c r="G20" i="28" a="1"/>
  <c r="G20" i="28"/>
  <c r="H20" i="28" a="1"/>
  <c r="H20" i="28"/>
  <c r="C26" i="28" a="1"/>
  <c r="C26" i="28"/>
  <c r="D26" i="28" a="1"/>
  <c r="D26" i="28"/>
  <c r="E26" i="28" a="1"/>
  <c r="E26" i="28"/>
  <c r="F26" i="28" a="1"/>
  <c r="F26" i="28"/>
  <c r="G26" i="28" a="1"/>
  <c r="G26" i="28"/>
  <c r="H26" i="28" a="1"/>
  <c r="H26" i="28"/>
  <c r="C12" i="28" a="1"/>
  <c r="C12" i="28"/>
  <c r="D12" i="28" a="1"/>
  <c r="D12" i="28"/>
  <c r="E12" i="28" a="1"/>
  <c r="E12" i="28"/>
  <c r="F12" i="28" a="1"/>
  <c r="F12" i="28"/>
  <c r="G12" i="28" a="1"/>
  <c r="G12" i="28"/>
  <c r="H12" i="28" a="1"/>
  <c r="H12" i="28"/>
  <c r="C18" i="28" a="1"/>
  <c r="C18" i="28"/>
  <c r="D18" i="28" a="1"/>
  <c r="D18" i="28"/>
  <c r="E18" i="28" a="1"/>
  <c r="E18" i="28"/>
  <c r="F18" i="28" a="1"/>
  <c r="F18" i="28"/>
  <c r="G18" i="28" a="1"/>
  <c r="G18" i="28"/>
  <c r="H18" i="28" a="1"/>
  <c r="H18" i="28"/>
  <c r="C17" i="28" a="1"/>
  <c r="C17" i="28"/>
  <c r="D17" i="28" a="1"/>
  <c r="D17" i="28"/>
  <c r="E17" i="28" a="1"/>
  <c r="E17" i="28"/>
  <c r="F17" i="28" a="1"/>
  <c r="F17" i="28"/>
  <c r="G17" i="28" a="1"/>
  <c r="G17" i="28"/>
  <c r="H17" i="28" a="1"/>
  <c r="H17" i="28"/>
  <c r="C27" i="28" a="1"/>
  <c r="C27" i="28"/>
  <c r="D27" i="28" a="1"/>
  <c r="D27" i="28"/>
  <c r="E27" i="28" a="1"/>
  <c r="E27" i="28"/>
  <c r="F27" i="28" a="1"/>
  <c r="F27" i="28"/>
  <c r="G27" i="28" a="1"/>
  <c r="G27" i="28"/>
  <c r="H27" i="28" a="1"/>
  <c r="H27" i="28"/>
  <c r="C35" i="28" a="1"/>
  <c r="C35" i="28"/>
  <c r="D35" i="28" a="1"/>
  <c r="D35" i="28"/>
  <c r="E35" i="28" a="1"/>
  <c r="E35" i="28"/>
  <c r="F35" i="28" a="1"/>
  <c r="F35" i="28"/>
  <c r="G35" i="28" a="1"/>
  <c r="G35" i="28"/>
  <c r="H35" i="28" a="1"/>
  <c r="H35" i="28"/>
  <c r="C28" i="28" a="1"/>
  <c r="C28" i="28"/>
  <c r="D28" i="28" a="1"/>
  <c r="D28" i="28"/>
  <c r="E28" i="28" a="1"/>
  <c r="E28" i="28"/>
  <c r="F28" i="28" a="1"/>
  <c r="F28" i="28"/>
  <c r="G28" i="28" a="1"/>
  <c r="G28" i="28"/>
  <c r="H28" i="28" a="1"/>
  <c r="H28" i="28"/>
  <c r="C38" i="28" a="1"/>
  <c r="C38" i="28"/>
  <c r="D38" i="28" a="1"/>
  <c r="D38" i="28"/>
  <c r="E38" i="28" a="1"/>
  <c r="E38" i="28"/>
  <c r="F38" i="28" a="1"/>
  <c r="F38" i="28"/>
  <c r="G38" i="28" a="1"/>
  <c r="G38" i="28"/>
  <c r="H38" i="28" a="1"/>
  <c r="H38" i="28"/>
  <c r="C32" i="28" a="1"/>
  <c r="C32" i="28"/>
  <c r="D32" i="28" a="1"/>
  <c r="D32" i="28"/>
  <c r="E32" i="28" a="1"/>
  <c r="E32" i="28"/>
  <c r="F32" i="28" a="1"/>
  <c r="F32" i="28"/>
  <c r="G32" i="28" a="1"/>
  <c r="G32" i="28"/>
  <c r="H32" i="28" a="1"/>
  <c r="H32" i="28"/>
  <c r="C15" i="28" a="1"/>
  <c r="C15" i="28"/>
  <c r="D15" i="28" a="1"/>
  <c r="D15" i="28"/>
  <c r="E15" i="28" a="1"/>
  <c r="E15" i="28"/>
  <c r="F15" i="28" a="1"/>
  <c r="F15" i="28"/>
  <c r="G15" i="28" a="1"/>
  <c r="G15" i="28"/>
  <c r="H15" i="28" a="1"/>
  <c r="H15" i="28"/>
  <c r="C21" i="28" a="1"/>
  <c r="C21" i="28"/>
  <c r="D21" i="28" a="1"/>
  <c r="D21" i="28"/>
  <c r="E21" i="28" a="1"/>
  <c r="E21" i="28"/>
  <c r="F21" i="28" a="1"/>
  <c r="F21" i="28"/>
  <c r="G21" i="28" a="1"/>
  <c r="G21" i="28"/>
  <c r="H21" i="28" a="1"/>
  <c r="H21" i="28"/>
  <c r="C22" i="28" a="1"/>
  <c r="C22" i="28"/>
  <c r="D22" i="28" a="1"/>
  <c r="D22" i="28"/>
  <c r="E22" i="28" a="1"/>
  <c r="E22" i="28"/>
  <c r="F22" i="28" a="1"/>
  <c r="F22" i="28"/>
  <c r="G22" i="28" a="1"/>
  <c r="G22" i="28"/>
  <c r="H22" i="28" a="1"/>
  <c r="H22" i="28"/>
  <c r="C39" i="28" a="1"/>
  <c r="C39" i="28"/>
  <c r="D39" i="28" a="1"/>
  <c r="D39" i="28"/>
  <c r="E39" i="28" a="1"/>
  <c r="E39" i="28"/>
  <c r="F39" i="28" a="1"/>
  <c r="F39" i="28"/>
  <c r="G39" i="28" a="1"/>
  <c r="G39" i="28"/>
  <c r="H39" i="28" a="1"/>
  <c r="H39" i="28"/>
  <c r="C16" i="28" a="1"/>
  <c r="C16" i="28"/>
  <c r="D16" i="28" a="1"/>
  <c r="D16" i="28"/>
  <c r="E16" i="28" a="1"/>
  <c r="E16" i="28"/>
  <c r="F16" i="28" a="1"/>
  <c r="F16" i="28"/>
  <c r="G16" i="28" a="1"/>
  <c r="G16" i="28"/>
  <c r="H16" i="28" a="1"/>
  <c r="H16" i="28"/>
  <c r="C8" i="28" a="1"/>
  <c r="C8" i="28"/>
  <c r="D8" i="28" a="1"/>
  <c r="D8" i="28"/>
  <c r="E8" i="28" a="1"/>
  <c r="E8" i="28"/>
  <c r="F8" i="28" a="1"/>
  <c r="F8" i="28"/>
  <c r="G8" i="28" a="1"/>
  <c r="G8" i="28"/>
  <c r="H8" i="28" a="1"/>
  <c r="H8" i="28"/>
  <c r="C9" i="28" a="1"/>
  <c r="C9" i="28"/>
  <c r="D9" i="28" a="1"/>
  <c r="D9" i="28"/>
  <c r="E9" i="28" a="1"/>
  <c r="E9" i="28"/>
  <c r="F9" i="28" a="1"/>
  <c r="F9" i="28"/>
  <c r="G9" i="28" a="1"/>
  <c r="G9" i="28"/>
  <c r="H9" i="28" a="1"/>
  <c r="H9" i="28"/>
  <c r="C30" i="28" a="1"/>
  <c r="C30" i="28"/>
  <c r="D30" i="28" a="1"/>
  <c r="D30" i="28"/>
  <c r="E30" i="28" a="1"/>
  <c r="E30" i="28"/>
  <c r="F30" i="28" a="1"/>
  <c r="F30" i="28"/>
  <c r="G30" i="28" a="1"/>
  <c r="G30" i="28"/>
  <c r="H30" i="28" a="1"/>
  <c r="H30" i="28"/>
  <c r="C23" i="28" a="1"/>
  <c r="C23" i="28"/>
  <c r="D23" i="28" a="1"/>
  <c r="D23" i="28"/>
  <c r="E23" i="28" a="1"/>
  <c r="E23" i="28"/>
  <c r="F23" i="28" a="1"/>
  <c r="F23" i="28"/>
  <c r="G23" i="28" a="1"/>
  <c r="G23" i="28"/>
  <c r="H23" i="28" a="1"/>
  <c r="H23" i="28"/>
  <c r="C29" i="28" a="1"/>
  <c r="C29" i="28"/>
  <c r="D29" i="28" a="1"/>
  <c r="D29" i="28"/>
  <c r="E29" i="28" a="1"/>
  <c r="E29" i="28"/>
  <c r="F29" i="28" a="1"/>
  <c r="F29" i="28"/>
  <c r="G29" i="28" a="1"/>
  <c r="G29" i="28"/>
  <c r="H29" i="28" a="1"/>
  <c r="H29" i="28"/>
  <c r="C11" i="28" a="1"/>
  <c r="C11" i="28"/>
  <c r="D11" i="28" a="1"/>
  <c r="D11" i="28"/>
  <c r="E11" i="28" a="1"/>
  <c r="E11" i="28"/>
  <c r="F11" i="28" a="1"/>
  <c r="F11" i="28"/>
  <c r="G11" i="28" a="1"/>
  <c r="G11" i="28"/>
  <c r="H11" i="28" a="1"/>
  <c r="H11" i="28"/>
  <c r="C14" i="28" a="1"/>
  <c r="C14" i="28"/>
  <c r="D14" i="28" a="1"/>
  <c r="D14" i="28"/>
  <c r="E14" i="28" a="1"/>
  <c r="E14" i="28"/>
  <c r="F14" i="28" a="1"/>
  <c r="F14" i="28"/>
  <c r="G14" i="28" a="1"/>
  <c r="G14" i="28"/>
  <c r="H14" i="28" a="1"/>
  <c r="H14" i="28"/>
  <c r="D6" i="28" a="1"/>
  <c r="D6" i="28"/>
  <c r="E6" i="28" a="1"/>
  <c r="E6" i="28"/>
  <c r="F6" i="28" a="1"/>
  <c r="F6" i="28"/>
  <c r="G6" i="28" a="1"/>
  <c r="G6" i="28"/>
  <c r="H6" i="28" a="1"/>
  <c r="H6" i="28"/>
  <c r="C6" i="28" a="1"/>
  <c r="C6" i="28"/>
  <c r="C52" i="18" a="1"/>
  <c r="C52" i="18"/>
  <c r="N51" i="18" a="1"/>
  <c r="N51" i="18"/>
  <c r="M51" i="18" a="1"/>
  <c r="M51" i="18"/>
  <c r="L51" i="18" a="1"/>
  <c r="L51" i="18"/>
  <c r="K51" i="18" a="1"/>
  <c r="K51" i="18"/>
  <c r="J51" i="18" a="1"/>
  <c r="J51" i="18"/>
  <c r="I51" i="18" a="1"/>
  <c r="I51" i="18"/>
  <c r="H51" i="18" a="1"/>
  <c r="H51" i="18"/>
  <c r="G51" i="18" a="1"/>
  <c r="G51" i="18"/>
  <c r="F51" i="18" a="1"/>
  <c r="F51" i="18"/>
  <c r="E51" i="18" a="1"/>
  <c r="E51" i="18"/>
  <c r="D51" i="18" a="1"/>
  <c r="D51" i="18"/>
  <c r="C51" i="18" a="1"/>
  <c r="C51" i="18"/>
  <c r="N50" i="18" a="1"/>
  <c r="N50" i="18"/>
  <c r="M50" i="18" a="1"/>
  <c r="M50" i="18"/>
  <c r="L50" i="18" a="1"/>
  <c r="L50" i="18"/>
  <c r="K50" i="18" a="1"/>
  <c r="K50" i="18"/>
  <c r="J50" i="18" a="1"/>
  <c r="J50" i="18"/>
  <c r="I50" i="18" a="1"/>
  <c r="I50" i="18"/>
  <c r="H50" i="18" a="1"/>
  <c r="H50" i="18"/>
  <c r="G50" i="18" a="1"/>
  <c r="G50" i="18"/>
  <c r="F50" i="18" a="1"/>
  <c r="F50" i="18"/>
  <c r="E50" i="18" a="1"/>
  <c r="E50" i="18"/>
  <c r="D50" i="18" a="1"/>
  <c r="D50" i="18"/>
  <c r="C50" i="18" a="1"/>
  <c r="C50" i="18"/>
  <c r="N49" i="18" a="1"/>
  <c r="N49" i="18"/>
  <c r="M49" i="18" a="1"/>
  <c r="M49" i="18"/>
  <c r="L49" i="18" a="1"/>
  <c r="L49" i="18"/>
  <c r="K49" i="18" a="1"/>
  <c r="K49" i="18"/>
  <c r="J49" i="18" a="1"/>
  <c r="J49" i="18"/>
  <c r="I49" i="18" a="1"/>
  <c r="I49" i="18"/>
  <c r="H49" i="18" a="1"/>
  <c r="H49" i="18"/>
  <c r="G49" i="18" a="1"/>
  <c r="G49" i="18"/>
  <c r="F49" i="18" a="1"/>
  <c r="F49" i="18"/>
  <c r="E49" i="18" a="1"/>
  <c r="E49" i="18"/>
  <c r="D49" i="18" a="1"/>
  <c r="D49" i="18"/>
  <c r="C49" i="18" a="1"/>
  <c r="C49" i="18"/>
  <c r="N48" i="18" a="1"/>
  <c r="N48" i="18"/>
  <c r="M48" i="18" a="1"/>
  <c r="M48" i="18"/>
  <c r="L48" i="18" a="1"/>
  <c r="L48" i="18"/>
  <c r="K48" i="18" a="1"/>
  <c r="K48" i="18"/>
  <c r="J48" i="18" a="1"/>
  <c r="J48" i="18"/>
  <c r="I48" i="18" a="1"/>
  <c r="I48" i="18"/>
  <c r="H48" i="18" a="1"/>
  <c r="H48" i="18"/>
  <c r="G48" i="18" a="1"/>
  <c r="G48" i="18"/>
  <c r="F48" i="18" a="1"/>
  <c r="F48" i="18"/>
  <c r="E48" i="18" a="1"/>
  <c r="E48" i="18"/>
  <c r="D48" i="18" a="1"/>
  <c r="D48" i="18"/>
  <c r="C48" i="18" a="1"/>
  <c r="C48" i="18"/>
  <c r="N47" i="18" a="1"/>
  <c r="N47" i="18"/>
  <c r="M47" i="18" a="1"/>
  <c r="M47" i="18"/>
  <c r="L47" i="18" a="1"/>
  <c r="L47" i="18"/>
  <c r="K47" i="18" a="1"/>
  <c r="K47" i="18"/>
  <c r="J47" i="18" a="1"/>
  <c r="J47" i="18"/>
  <c r="I47" i="18" a="1"/>
  <c r="I47" i="18"/>
  <c r="H47" i="18" a="1"/>
  <c r="H47" i="18"/>
  <c r="G47" i="18" a="1"/>
  <c r="G47" i="18"/>
  <c r="F47" i="18" a="1"/>
  <c r="F47" i="18"/>
  <c r="E47" i="18" a="1"/>
  <c r="E47" i="18"/>
  <c r="D47" i="18" a="1"/>
  <c r="D47" i="18"/>
  <c r="C47" i="18" a="1"/>
  <c r="C47" i="18"/>
  <c r="N46" i="18" a="1"/>
  <c r="N46" i="18"/>
  <c r="M46" i="18" a="1"/>
  <c r="M46" i="18"/>
  <c r="L46" i="18" a="1"/>
  <c r="L46" i="18"/>
  <c r="K46" i="18" a="1"/>
  <c r="K46" i="18"/>
  <c r="J46" i="18" a="1"/>
  <c r="J46" i="18"/>
  <c r="I46" i="18" a="1"/>
  <c r="I46" i="18"/>
  <c r="H46" i="18" a="1"/>
  <c r="H46" i="18"/>
  <c r="G46" i="18" a="1"/>
  <c r="G46" i="18"/>
  <c r="F46" i="18" a="1"/>
  <c r="F46" i="18"/>
  <c r="E46" i="18" a="1"/>
  <c r="E46" i="18"/>
  <c r="D46" i="18" a="1"/>
  <c r="D46" i="18"/>
  <c r="C46" i="18" a="1"/>
  <c r="C46" i="18"/>
  <c r="N45" i="18" a="1"/>
  <c r="N45" i="18"/>
  <c r="M45" i="18" a="1"/>
  <c r="M45" i="18"/>
  <c r="L45" i="18" a="1"/>
  <c r="L45" i="18"/>
  <c r="K45" i="18" a="1"/>
  <c r="K45" i="18"/>
  <c r="J45" i="18" a="1"/>
  <c r="J45" i="18"/>
  <c r="I45" i="18" a="1"/>
  <c r="I45" i="18"/>
  <c r="H45" i="18" a="1"/>
  <c r="H45" i="18"/>
  <c r="G45" i="18" a="1"/>
  <c r="G45" i="18"/>
  <c r="F45" i="18" a="1"/>
  <c r="F45" i="18"/>
  <c r="E45" i="18" a="1"/>
  <c r="E45" i="18"/>
  <c r="D45" i="18" a="1"/>
  <c r="D45" i="18"/>
  <c r="C45" i="18" a="1"/>
  <c r="C45" i="18"/>
  <c r="N52" i="18" a="1"/>
  <c r="N52" i="18"/>
  <c r="M52" i="18" a="1"/>
  <c r="M52" i="18"/>
  <c r="L52" i="18" a="1"/>
  <c r="L52" i="18"/>
  <c r="K52" i="18" a="1"/>
  <c r="K52" i="18"/>
  <c r="J52" i="18" a="1"/>
  <c r="J52" i="18"/>
  <c r="I52" i="18" a="1"/>
  <c r="I52" i="18"/>
  <c r="H52" i="18" a="1"/>
  <c r="H52" i="18"/>
  <c r="G52" i="18" a="1"/>
  <c r="G52" i="18"/>
  <c r="F52" i="18" a="1"/>
  <c r="F52" i="18"/>
  <c r="E52" i="18" a="1"/>
  <c r="E52" i="18"/>
  <c r="D52" i="18" a="1"/>
  <c r="D52" i="18"/>
  <c r="D33" i="18" a="1"/>
  <c r="D33" i="18"/>
  <c r="E33" i="18" a="1"/>
  <c r="E33" i="18"/>
  <c r="G33" i="18" a="1"/>
  <c r="G33" i="18"/>
  <c r="H33" i="18" a="1"/>
  <c r="H33" i="18"/>
  <c r="I33" i="18" a="1"/>
  <c r="I33" i="18"/>
  <c r="J33" i="18" a="1"/>
  <c r="J33" i="18"/>
  <c r="K33" i="18" a="1"/>
  <c r="K33" i="18"/>
  <c r="L33" i="18" a="1"/>
  <c r="L33" i="18"/>
  <c r="M33" i="18" a="1"/>
  <c r="M33" i="18"/>
  <c r="N33" i="18" a="1"/>
  <c r="N33" i="18"/>
  <c r="C33" i="18" a="1"/>
  <c r="C33" i="18"/>
  <c r="C25" i="18" a="1"/>
  <c r="C25" i="18"/>
  <c r="D25" i="18" a="1"/>
  <c r="D25" i="18"/>
  <c r="E25" i="18" a="1"/>
  <c r="E25" i="18"/>
  <c r="F25" i="18" a="1"/>
  <c r="F25" i="18"/>
  <c r="G25" i="18" a="1"/>
  <c r="G25" i="18"/>
  <c r="H25" i="18" a="1"/>
  <c r="H25" i="18"/>
  <c r="I25" i="18" a="1"/>
  <c r="I25" i="18"/>
  <c r="J25" i="18" a="1"/>
  <c r="J25" i="18"/>
  <c r="K25" i="18" a="1"/>
  <c r="K25" i="18"/>
  <c r="L25" i="18" a="1"/>
  <c r="L25" i="18"/>
  <c r="M25" i="18" a="1"/>
  <c r="M25" i="18"/>
  <c r="N25" i="18" a="1"/>
  <c r="N25" i="18"/>
  <c r="C26" i="18" a="1"/>
  <c r="C26" i="18"/>
  <c r="D26" i="18" a="1"/>
  <c r="D26" i="18"/>
  <c r="E26" i="18" a="1"/>
  <c r="E26" i="18"/>
  <c r="F26" i="18" a="1"/>
  <c r="F26" i="18"/>
  <c r="G26" i="18" a="1"/>
  <c r="G26" i="18"/>
  <c r="H26" i="18" a="1"/>
  <c r="H26" i="18"/>
  <c r="I26" i="18" a="1"/>
  <c r="I26" i="18"/>
  <c r="J26" i="18" a="1"/>
  <c r="J26" i="18"/>
  <c r="K26" i="18" a="1"/>
  <c r="K26" i="18"/>
  <c r="L26" i="18" a="1"/>
  <c r="L26" i="18"/>
  <c r="M26" i="18" a="1"/>
  <c r="M26" i="18"/>
  <c r="N26" i="18" a="1"/>
  <c r="N26" i="18"/>
  <c r="C27" i="18" a="1"/>
  <c r="C27" i="18"/>
  <c r="D27" i="18" a="1"/>
  <c r="D27" i="18"/>
  <c r="E27" i="18" a="1"/>
  <c r="E27" i="18"/>
  <c r="F27" i="18" a="1"/>
  <c r="F27" i="18"/>
  <c r="G27" i="18" a="1"/>
  <c r="G27" i="18"/>
  <c r="H27" i="18" a="1"/>
  <c r="H27" i="18"/>
  <c r="I27" i="18" a="1"/>
  <c r="I27" i="18"/>
  <c r="J27" i="18" a="1"/>
  <c r="J27" i="18"/>
  <c r="K27" i="18" a="1"/>
  <c r="K27" i="18"/>
  <c r="L27" i="18" a="1"/>
  <c r="L27" i="18"/>
  <c r="M27" i="18" a="1"/>
  <c r="M27" i="18"/>
  <c r="N27" i="18" a="1"/>
  <c r="N27" i="18"/>
  <c r="D24" i="18" a="1"/>
  <c r="D24" i="18"/>
  <c r="E24" i="18" a="1"/>
  <c r="E24" i="18"/>
  <c r="F24" i="18" a="1"/>
  <c r="F24" i="18"/>
  <c r="G24" i="18" a="1"/>
  <c r="G24" i="18"/>
  <c r="H24" i="18" a="1"/>
  <c r="H24" i="18"/>
  <c r="I24" i="18" a="1"/>
  <c r="I24" i="18"/>
  <c r="J24" i="18" a="1"/>
  <c r="J24" i="18"/>
  <c r="K24" i="18" a="1"/>
  <c r="K24" i="18"/>
  <c r="L24" i="18" a="1"/>
  <c r="L24" i="18"/>
  <c r="M24" i="18" a="1"/>
  <c r="M24" i="18"/>
  <c r="N24" i="18" a="1"/>
  <c r="N24" i="18"/>
  <c r="C24" i="18" a="1"/>
  <c r="C24" i="18"/>
  <c r="C16" i="18" a="1"/>
  <c r="C16" i="18"/>
  <c r="D16" i="18" a="1"/>
  <c r="D16" i="18"/>
  <c r="E16" i="18" a="1"/>
  <c r="E16" i="18"/>
  <c r="F16" i="18" a="1"/>
  <c r="F16" i="18"/>
  <c r="G16" i="18" a="1"/>
  <c r="G16" i="18"/>
  <c r="H16" i="18" a="1"/>
  <c r="H16" i="18"/>
  <c r="I16" i="18" a="1"/>
  <c r="I16" i="18"/>
  <c r="J16" i="18" a="1"/>
  <c r="J16" i="18"/>
  <c r="K16" i="18" a="1"/>
  <c r="K16" i="18"/>
  <c r="L16" i="18" a="1"/>
  <c r="L16" i="18"/>
  <c r="M16" i="18" a="1"/>
  <c r="M16" i="18"/>
  <c r="N16" i="18" a="1"/>
  <c r="N16" i="18"/>
  <c r="C17" i="18" a="1"/>
  <c r="C17" i="18"/>
  <c r="D17" i="18" a="1"/>
  <c r="D17" i="18"/>
  <c r="E17" i="18" a="1"/>
  <c r="E17" i="18"/>
  <c r="F17" i="18" a="1"/>
  <c r="F17" i="18"/>
  <c r="G17" i="18" a="1"/>
  <c r="G17" i="18"/>
  <c r="H17" i="18" a="1"/>
  <c r="H17" i="18"/>
  <c r="I17" i="18" a="1"/>
  <c r="I17" i="18"/>
  <c r="J17" i="18" a="1"/>
  <c r="J17" i="18"/>
  <c r="K17" i="18" a="1"/>
  <c r="K17" i="18"/>
  <c r="L17" i="18" a="1"/>
  <c r="L17" i="18"/>
  <c r="M17" i="18" a="1"/>
  <c r="M17" i="18"/>
  <c r="N17" i="18" a="1"/>
  <c r="N17" i="18"/>
  <c r="C18" i="18" a="1"/>
  <c r="C18" i="18"/>
  <c r="D18" i="18" a="1"/>
  <c r="D18" i="18"/>
  <c r="E18" i="18" a="1"/>
  <c r="E18" i="18"/>
  <c r="F18" i="18" a="1"/>
  <c r="F18" i="18"/>
  <c r="G18" i="18" a="1"/>
  <c r="G18" i="18"/>
  <c r="H18" i="18" a="1"/>
  <c r="H18" i="18"/>
  <c r="I18" i="18" a="1"/>
  <c r="I18" i="18"/>
  <c r="J18" i="18" a="1"/>
  <c r="J18" i="18"/>
  <c r="K18" i="18" a="1"/>
  <c r="K18" i="18"/>
  <c r="L18" i="18" a="1"/>
  <c r="L18" i="18"/>
  <c r="M18" i="18" a="1"/>
  <c r="M18" i="18"/>
  <c r="N18" i="18" a="1"/>
  <c r="N18" i="18"/>
  <c r="D15" i="18" a="1"/>
  <c r="D15" i="18"/>
  <c r="E15" i="18" a="1"/>
  <c r="E15" i="18"/>
  <c r="F15" i="18" a="1"/>
  <c r="F15" i="18"/>
  <c r="G15" i="18" a="1"/>
  <c r="G15" i="18"/>
  <c r="H15" i="18" a="1"/>
  <c r="H15" i="18"/>
  <c r="I15" i="18" a="1"/>
  <c r="I15" i="18"/>
  <c r="J15" i="18" a="1"/>
  <c r="J15" i="18"/>
  <c r="K15" i="18" a="1"/>
  <c r="K15" i="18"/>
  <c r="L15" i="18" a="1"/>
  <c r="L15" i="18"/>
  <c r="M15" i="18" a="1"/>
  <c r="M15" i="18"/>
  <c r="N15" i="18" a="1"/>
  <c r="N15" i="18"/>
  <c r="C15" i="18" a="1"/>
  <c r="C15" i="18"/>
  <c r="C29" i="23"/>
  <c r="B5" i="23"/>
  <c r="D39" i="18" a="1"/>
  <c r="D39" i="18"/>
  <c r="D8" i="18"/>
  <c r="E39" i="18" a="1"/>
  <c r="E39" i="18"/>
  <c r="E8" i="18"/>
  <c r="F39" i="18" a="1"/>
  <c r="F39" i="18"/>
  <c r="F8" i="18"/>
  <c r="G39" i="18" a="1"/>
  <c r="G39" i="18"/>
  <c r="G8" i="18"/>
  <c r="H39" i="18" a="1"/>
  <c r="H39" i="18"/>
  <c r="H8" i="18"/>
  <c r="I39" i="18" a="1"/>
  <c r="I39" i="18"/>
  <c r="I8" i="18"/>
  <c r="J39" i="18" a="1"/>
  <c r="J39" i="18"/>
  <c r="J8" i="18"/>
  <c r="K39" i="18" a="1"/>
  <c r="K39" i="18"/>
  <c r="K8" i="18"/>
  <c r="L39" i="18" a="1"/>
  <c r="L39" i="18"/>
  <c r="L8" i="18"/>
  <c r="M39" i="18" a="1"/>
  <c r="M39" i="18"/>
  <c r="M8" i="18"/>
  <c r="N39" i="18" a="1"/>
  <c r="N39" i="18"/>
  <c r="N8" i="18"/>
  <c r="C39" i="18" a="1"/>
  <c r="C39" i="18"/>
  <c r="C8" i="18"/>
  <c r="D127" i="16"/>
  <c r="H125" i="18"/>
  <c r="G126" i="18"/>
  <c r="F38" i="9"/>
  <c r="I125" i="18"/>
  <c r="H126" i="18"/>
  <c r="C116" i="18" a="1"/>
  <c r="C116" i="18"/>
  <c r="D116" i="18" a="1"/>
  <c r="D116" i="18"/>
  <c r="E116" i="18" a="1"/>
  <c r="E116" i="18"/>
  <c r="F116" i="18" a="1"/>
  <c r="F116" i="18"/>
  <c r="G116" i="18" a="1"/>
  <c r="G116" i="18"/>
  <c r="H116" i="18" a="1"/>
  <c r="H116" i="18"/>
  <c r="I116" i="18" a="1"/>
  <c r="I116" i="18"/>
  <c r="J116" i="18" a="1"/>
  <c r="J116" i="18"/>
  <c r="K116" i="18" a="1"/>
  <c r="K116" i="18"/>
  <c r="L116" i="18" a="1"/>
  <c r="L116" i="18"/>
  <c r="M116" i="18" a="1"/>
  <c r="M116" i="18"/>
  <c r="N116" i="18" a="1"/>
  <c r="N116" i="18"/>
  <c r="C117" i="18" a="1"/>
  <c r="C117" i="18"/>
  <c r="D117" i="18" a="1"/>
  <c r="D117" i="18"/>
  <c r="E117" i="18" a="1"/>
  <c r="E117" i="18"/>
  <c r="G117" i="18" a="1"/>
  <c r="G117" i="18"/>
  <c r="H117" i="18" a="1"/>
  <c r="H117" i="18"/>
  <c r="I117" i="18" a="1"/>
  <c r="I117" i="18"/>
  <c r="J117" i="18" a="1"/>
  <c r="J117" i="18"/>
  <c r="K117" i="18" a="1"/>
  <c r="K117" i="18"/>
  <c r="L117" i="18" a="1"/>
  <c r="L117" i="18"/>
  <c r="M117" i="18" a="1"/>
  <c r="M117" i="18"/>
  <c r="N117" i="18" a="1"/>
  <c r="N117" i="18"/>
  <c r="C118" i="18" a="1"/>
  <c r="C118" i="18"/>
  <c r="D118" i="18" a="1"/>
  <c r="D118" i="18"/>
  <c r="E118" i="18" a="1"/>
  <c r="E118" i="18"/>
  <c r="F118" i="18" a="1"/>
  <c r="F118" i="18"/>
  <c r="G118" i="18" a="1"/>
  <c r="G118" i="18"/>
  <c r="H118" i="18" a="1"/>
  <c r="H118" i="18"/>
  <c r="I118" i="18" a="1"/>
  <c r="I118" i="18"/>
  <c r="J118" i="18" a="1"/>
  <c r="J118" i="18"/>
  <c r="K118" i="18" a="1"/>
  <c r="K118" i="18"/>
  <c r="L118" i="18" a="1"/>
  <c r="L118" i="18"/>
  <c r="M118" i="18" a="1"/>
  <c r="M118" i="18"/>
  <c r="N118" i="18" a="1"/>
  <c r="N118" i="18"/>
  <c r="C119" i="18" a="1"/>
  <c r="C119" i="18"/>
  <c r="D119" i="18" a="1"/>
  <c r="D119" i="18"/>
  <c r="E119" i="18" a="1"/>
  <c r="E119" i="18"/>
  <c r="F119" i="18" a="1"/>
  <c r="F119" i="18"/>
  <c r="G119" i="18" a="1"/>
  <c r="G119" i="18"/>
  <c r="H119" i="18" a="1"/>
  <c r="H119" i="18"/>
  <c r="I119" i="18" a="1"/>
  <c r="I119" i="18"/>
  <c r="J119" i="18" a="1"/>
  <c r="J119" i="18"/>
  <c r="K119" i="18" a="1"/>
  <c r="K119" i="18"/>
  <c r="L119" i="18" a="1"/>
  <c r="L119" i="18"/>
  <c r="M119" i="18" a="1"/>
  <c r="M119" i="18"/>
  <c r="N119" i="18" a="1"/>
  <c r="N119" i="18"/>
  <c r="D115" i="18" a="1"/>
  <c r="D115" i="18"/>
  <c r="D127" i="18"/>
  <c r="E115" i="18" a="1"/>
  <c r="E115" i="18"/>
  <c r="E127" i="18"/>
  <c r="F115" i="18" a="1"/>
  <c r="F115" i="18"/>
  <c r="F127" i="18"/>
  <c r="G115" i="18" a="1"/>
  <c r="G115" i="18"/>
  <c r="G127" i="18"/>
  <c r="H115" i="18" a="1"/>
  <c r="H115" i="18"/>
  <c r="H127" i="18"/>
  <c r="I115" i="18" a="1"/>
  <c r="I115" i="18"/>
  <c r="J115" i="18" a="1"/>
  <c r="J115" i="18"/>
  <c r="K115" i="18" a="1"/>
  <c r="K115" i="18"/>
  <c r="L115" i="18" a="1"/>
  <c r="L115" i="18"/>
  <c r="M115" i="18" a="1"/>
  <c r="M115" i="18"/>
  <c r="N115" i="18" a="1"/>
  <c r="N115" i="18"/>
  <c r="C115" i="18" a="1"/>
  <c r="C115" i="18"/>
  <c r="C127" i="18"/>
  <c r="C103" i="18" a="1"/>
  <c r="C103" i="18"/>
  <c r="D103" i="18" a="1"/>
  <c r="D103" i="18"/>
  <c r="E103" i="18" a="1"/>
  <c r="E103" i="18"/>
  <c r="F103" i="18" a="1"/>
  <c r="F103" i="18"/>
  <c r="G103" i="18" a="1"/>
  <c r="G103" i="18"/>
  <c r="H103" i="18" a="1"/>
  <c r="H103" i="18"/>
  <c r="H110" i="18"/>
  <c r="I103" i="18" a="1"/>
  <c r="I103" i="18"/>
  <c r="I110" i="18"/>
  <c r="J103" i="18" a="1"/>
  <c r="J103" i="18"/>
  <c r="J110" i="18"/>
  <c r="K103" i="18" a="1"/>
  <c r="K103" i="18"/>
  <c r="K110" i="18"/>
  <c r="L103" i="18" a="1"/>
  <c r="L103" i="18"/>
  <c r="L110" i="18"/>
  <c r="M103" i="18" a="1"/>
  <c r="M103" i="18"/>
  <c r="M110" i="18"/>
  <c r="N103" i="18" a="1"/>
  <c r="N103" i="18"/>
  <c r="N110" i="18"/>
  <c r="C104" i="18" a="1"/>
  <c r="C104" i="18"/>
  <c r="D104" i="18" a="1"/>
  <c r="D104" i="18"/>
  <c r="E104" i="18" a="1"/>
  <c r="E104" i="18"/>
  <c r="F104" i="18" a="1"/>
  <c r="F104" i="18"/>
  <c r="G104" i="18" a="1"/>
  <c r="G104" i="18"/>
  <c r="H104" i="18" a="1"/>
  <c r="H104" i="18"/>
  <c r="I104" i="18" a="1"/>
  <c r="I104" i="18"/>
  <c r="J104" i="18" a="1"/>
  <c r="J104" i="18"/>
  <c r="K104" i="18" a="1"/>
  <c r="K104" i="18"/>
  <c r="L104" i="18" a="1"/>
  <c r="L104" i="18"/>
  <c r="M104" i="18" a="1"/>
  <c r="M104" i="18"/>
  <c r="N104" i="18" a="1"/>
  <c r="N104" i="18"/>
  <c r="C105" i="18" a="1"/>
  <c r="C105" i="18"/>
  <c r="D105" i="18" a="1"/>
  <c r="D105" i="18"/>
  <c r="E105" i="18" a="1"/>
  <c r="E105" i="18"/>
  <c r="F105" i="18" a="1"/>
  <c r="F105" i="18"/>
  <c r="G105" i="18" a="1"/>
  <c r="G105" i="18"/>
  <c r="H105" i="18" a="1"/>
  <c r="H105" i="18"/>
  <c r="I105" i="18" a="1"/>
  <c r="I105" i="18"/>
  <c r="J105" i="18" a="1"/>
  <c r="J105" i="18"/>
  <c r="K105" i="18" a="1"/>
  <c r="K105" i="18"/>
  <c r="L105" i="18" a="1"/>
  <c r="L105" i="18"/>
  <c r="M105" i="18" a="1"/>
  <c r="M105" i="18"/>
  <c r="N105" i="18" a="1"/>
  <c r="N105" i="18"/>
  <c r="C106" i="18" a="1"/>
  <c r="C106" i="18"/>
  <c r="D106" i="18" a="1"/>
  <c r="D106" i="18"/>
  <c r="E106" i="18" a="1"/>
  <c r="E106" i="18"/>
  <c r="F106" i="18" a="1"/>
  <c r="F106" i="18"/>
  <c r="G106" i="18" a="1"/>
  <c r="G106" i="18"/>
  <c r="H106" i="18" a="1"/>
  <c r="H106" i="18"/>
  <c r="I106" i="18" a="1"/>
  <c r="I106" i="18"/>
  <c r="J106" i="18" a="1"/>
  <c r="J106" i="18"/>
  <c r="K106" i="18" a="1"/>
  <c r="K106" i="18"/>
  <c r="L106" i="18" a="1"/>
  <c r="L106" i="18"/>
  <c r="M106" i="18" a="1"/>
  <c r="M106" i="18"/>
  <c r="N106" i="18" a="1"/>
  <c r="N106" i="18"/>
  <c r="C107" i="18" a="1"/>
  <c r="C107" i="18"/>
  <c r="D107" i="18" a="1"/>
  <c r="D107" i="18"/>
  <c r="E107" i="18" a="1"/>
  <c r="E107" i="18"/>
  <c r="F107" i="18" a="1"/>
  <c r="F107" i="18"/>
  <c r="G107" i="18" a="1"/>
  <c r="G107" i="18"/>
  <c r="H107" i="18" a="1"/>
  <c r="H107" i="18"/>
  <c r="I107" i="18" a="1"/>
  <c r="I107" i="18"/>
  <c r="J107" i="18" a="1"/>
  <c r="J107" i="18"/>
  <c r="K107" i="18" a="1"/>
  <c r="K107" i="18"/>
  <c r="L107" i="18" a="1"/>
  <c r="L107" i="18"/>
  <c r="M107" i="18" a="1"/>
  <c r="M107" i="18"/>
  <c r="N107" i="18" a="1"/>
  <c r="N107" i="18"/>
  <c r="C108" i="18" a="1"/>
  <c r="C108" i="18"/>
  <c r="D108" i="18" a="1"/>
  <c r="D108" i="18"/>
  <c r="E108" i="18" a="1"/>
  <c r="E108" i="18"/>
  <c r="F108" i="18" a="1"/>
  <c r="F108" i="18"/>
  <c r="G108" i="18" a="1"/>
  <c r="G108" i="18"/>
  <c r="H108" i="18" a="1"/>
  <c r="H108" i="18"/>
  <c r="I108" i="18" a="1"/>
  <c r="I108" i="18"/>
  <c r="J108" i="18" a="1"/>
  <c r="J108" i="18"/>
  <c r="K108" i="18" a="1"/>
  <c r="K108" i="18"/>
  <c r="L108" i="18" a="1"/>
  <c r="L108" i="18"/>
  <c r="M108" i="18" a="1"/>
  <c r="M108" i="18"/>
  <c r="N108" i="18" a="1"/>
  <c r="N108" i="18"/>
  <c r="C109" i="18" a="1"/>
  <c r="C109" i="18"/>
  <c r="D109" i="18" a="1"/>
  <c r="D109" i="18"/>
  <c r="E109" i="18" a="1"/>
  <c r="E109" i="18"/>
  <c r="F109" i="18" a="1"/>
  <c r="F109" i="18"/>
  <c r="G109" i="18" a="1"/>
  <c r="G109" i="18"/>
  <c r="H109" i="18" a="1"/>
  <c r="H109" i="18"/>
  <c r="I109" i="18" a="1"/>
  <c r="I109" i="18"/>
  <c r="J109" i="18" a="1"/>
  <c r="J109" i="18"/>
  <c r="K109" i="18" a="1"/>
  <c r="K109" i="18"/>
  <c r="L109" i="18" a="1"/>
  <c r="L109" i="18"/>
  <c r="M109" i="18" a="1"/>
  <c r="M109" i="18"/>
  <c r="N109" i="18" a="1"/>
  <c r="N109" i="18"/>
  <c r="D102" i="18" a="1"/>
  <c r="D102" i="18"/>
  <c r="E102" i="18" a="1"/>
  <c r="E102" i="18"/>
  <c r="F102" i="18" a="1"/>
  <c r="F102" i="18"/>
  <c r="G102" i="18" a="1"/>
  <c r="G102" i="18"/>
  <c r="H102" i="18" a="1"/>
  <c r="H102" i="18"/>
  <c r="I102" i="18" a="1"/>
  <c r="I102" i="18"/>
  <c r="J102" i="18" a="1"/>
  <c r="J102" i="18"/>
  <c r="K102" i="18" a="1"/>
  <c r="K102" i="18"/>
  <c r="L102" i="18" a="1"/>
  <c r="L102" i="18"/>
  <c r="M102" i="18" a="1"/>
  <c r="M102" i="18"/>
  <c r="N102" i="18" a="1"/>
  <c r="N102" i="18"/>
  <c r="C102" i="18" a="1"/>
  <c r="C102" i="18"/>
  <c r="C92" i="18" a="1"/>
  <c r="C92" i="18"/>
  <c r="G110" i="18"/>
  <c r="J125" i="18"/>
  <c r="I126" i="18"/>
  <c r="I127" i="18"/>
  <c r="J120" i="18"/>
  <c r="I120" i="18"/>
  <c r="H120" i="18"/>
  <c r="G120" i="18"/>
  <c r="N120" i="18"/>
  <c r="F120" i="18"/>
  <c r="M120" i="18"/>
  <c r="E120" i="18"/>
  <c r="L120" i="18"/>
  <c r="D120" i="18"/>
  <c r="K120" i="18"/>
  <c r="C120" i="18"/>
  <c r="K111" i="18"/>
  <c r="L111" i="18"/>
  <c r="J111" i="18"/>
  <c r="C110" i="18"/>
  <c r="C111" i="18"/>
  <c r="H111" i="18"/>
  <c r="N111" i="18"/>
  <c r="I111" i="18"/>
  <c r="G111" i="18"/>
  <c r="D110" i="18"/>
  <c r="D111" i="18"/>
  <c r="M111" i="18"/>
  <c r="E110" i="18"/>
  <c r="E111" i="18"/>
  <c r="F110" i="18"/>
  <c r="F111" i="18"/>
  <c r="K125" i="18"/>
  <c r="J126" i="18"/>
  <c r="J127" i="18"/>
  <c r="C93" i="18" a="1"/>
  <c r="C93" i="18"/>
  <c r="D93" i="18" a="1"/>
  <c r="D93" i="18"/>
  <c r="E93" i="18" a="1"/>
  <c r="E93" i="18"/>
  <c r="F93" i="18" a="1"/>
  <c r="F93" i="18"/>
  <c r="G93" i="18" a="1"/>
  <c r="G93" i="18"/>
  <c r="H93" i="18" a="1"/>
  <c r="H93" i="18"/>
  <c r="I93" i="18" a="1"/>
  <c r="I93" i="18"/>
  <c r="J93" i="18" a="1"/>
  <c r="J93" i="18"/>
  <c r="K93" i="18" a="1"/>
  <c r="K93" i="18"/>
  <c r="L93" i="18" a="1"/>
  <c r="L93" i="18"/>
  <c r="M93" i="18" a="1"/>
  <c r="M93" i="18"/>
  <c r="N93" i="18" a="1"/>
  <c r="N93" i="18"/>
  <c r="C94" i="18" a="1"/>
  <c r="C94" i="18"/>
  <c r="D94" i="18" a="1"/>
  <c r="D94" i="18"/>
  <c r="E94" i="18" a="1"/>
  <c r="E94" i="18"/>
  <c r="F94" i="18" a="1"/>
  <c r="F94" i="18"/>
  <c r="G94" i="18" a="1"/>
  <c r="G94" i="18"/>
  <c r="H94" i="18" a="1"/>
  <c r="H94" i="18"/>
  <c r="I94" i="18" a="1"/>
  <c r="I94" i="18"/>
  <c r="J94" i="18" a="1"/>
  <c r="J94" i="18"/>
  <c r="K94" i="18" a="1"/>
  <c r="K94" i="18"/>
  <c r="L94" i="18" a="1"/>
  <c r="L94" i="18"/>
  <c r="M94" i="18" a="1"/>
  <c r="M94" i="18"/>
  <c r="N94" i="18" a="1"/>
  <c r="N94" i="18"/>
  <c r="C95" i="18" a="1"/>
  <c r="C95" i="18"/>
  <c r="D95" i="18" a="1"/>
  <c r="D95" i="18"/>
  <c r="E95" i="18" a="1"/>
  <c r="E95" i="18"/>
  <c r="F95" i="18" a="1"/>
  <c r="F95" i="18"/>
  <c r="G95" i="18" a="1"/>
  <c r="G95" i="18"/>
  <c r="H95" i="18" a="1"/>
  <c r="H95" i="18"/>
  <c r="I95" i="18" a="1"/>
  <c r="I95" i="18"/>
  <c r="J95" i="18" a="1"/>
  <c r="J95" i="18"/>
  <c r="K95" i="18" a="1"/>
  <c r="K95" i="18"/>
  <c r="L95" i="18" a="1"/>
  <c r="L95" i="18"/>
  <c r="M95" i="18" a="1"/>
  <c r="M95" i="18"/>
  <c r="N95" i="18" a="1"/>
  <c r="N95" i="18"/>
  <c r="C96" i="18" a="1"/>
  <c r="C96" i="18"/>
  <c r="D96" i="18" a="1"/>
  <c r="D96" i="18"/>
  <c r="E96" i="18" a="1"/>
  <c r="E96" i="18"/>
  <c r="F96" i="18" a="1"/>
  <c r="F96" i="18"/>
  <c r="G96" i="18" a="1"/>
  <c r="G96" i="18"/>
  <c r="H96" i="18" a="1"/>
  <c r="H96" i="18"/>
  <c r="I96" i="18" a="1"/>
  <c r="I96" i="18"/>
  <c r="J96" i="18" a="1"/>
  <c r="J96" i="18"/>
  <c r="K96" i="18" a="1"/>
  <c r="K96" i="18"/>
  <c r="L96" i="18" a="1"/>
  <c r="L96" i="18"/>
  <c r="M96" i="18" a="1"/>
  <c r="M96" i="18"/>
  <c r="N96" i="18" a="1"/>
  <c r="N96" i="18"/>
  <c r="D92" i="18" a="1"/>
  <c r="D92" i="18"/>
  <c r="E92" i="18" a="1"/>
  <c r="E92" i="18"/>
  <c r="F92" i="18" a="1"/>
  <c r="F92" i="18"/>
  <c r="G92" i="18" a="1"/>
  <c r="G92" i="18"/>
  <c r="H92" i="18" a="1"/>
  <c r="H92" i="18"/>
  <c r="I92" i="18" a="1"/>
  <c r="I92" i="18"/>
  <c r="J92" i="18" a="1"/>
  <c r="J92" i="18"/>
  <c r="K92" i="18" a="1"/>
  <c r="K92" i="18"/>
  <c r="L92" i="18" a="1"/>
  <c r="L92" i="18"/>
  <c r="M92" i="18" a="1"/>
  <c r="M92" i="18"/>
  <c r="N92" i="18" a="1"/>
  <c r="N92" i="18"/>
  <c r="C81" i="18" a="1"/>
  <c r="C81" i="18"/>
  <c r="D81" i="18" a="1"/>
  <c r="D81" i="18"/>
  <c r="E81" i="18" a="1"/>
  <c r="E81" i="18"/>
  <c r="F81" i="18" a="1"/>
  <c r="F81" i="18"/>
  <c r="G81" i="18" a="1"/>
  <c r="G81" i="18"/>
  <c r="H81" i="18" a="1"/>
  <c r="H81" i="18"/>
  <c r="I81" i="18" a="1"/>
  <c r="I81" i="18"/>
  <c r="J81" i="18" a="1"/>
  <c r="J81" i="18"/>
  <c r="K81" i="18" a="1"/>
  <c r="K81" i="18"/>
  <c r="L81" i="18" a="1"/>
  <c r="L81" i="18"/>
  <c r="M81" i="18" a="1"/>
  <c r="M81" i="18"/>
  <c r="N81" i="18" a="1"/>
  <c r="N81" i="18"/>
  <c r="C82" i="18" a="1"/>
  <c r="C82" i="18"/>
  <c r="D82" i="18" a="1"/>
  <c r="D82" i="18"/>
  <c r="E82" i="18" a="1"/>
  <c r="E82" i="18"/>
  <c r="F82" i="18" a="1"/>
  <c r="F82" i="18"/>
  <c r="G82" i="18" a="1"/>
  <c r="G82" i="18"/>
  <c r="H82" i="18" a="1"/>
  <c r="H82" i="18"/>
  <c r="H87" i="18"/>
  <c r="I82" i="18" a="1"/>
  <c r="I82" i="18"/>
  <c r="I87" i="18"/>
  <c r="J82" i="18" a="1"/>
  <c r="J82" i="18"/>
  <c r="J87" i="18"/>
  <c r="K82" i="18" a="1"/>
  <c r="K82" i="18"/>
  <c r="K87" i="18"/>
  <c r="L82" i="18" a="1"/>
  <c r="L82" i="18"/>
  <c r="L87" i="18"/>
  <c r="M82" i="18" a="1"/>
  <c r="M82" i="18"/>
  <c r="M87" i="18"/>
  <c r="N82" i="18" a="1"/>
  <c r="N82" i="18"/>
  <c r="N87" i="18"/>
  <c r="C83" i="18" a="1"/>
  <c r="C83" i="18"/>
  <c r="D83" i="18" a="1"/>
  <c r="D83" i="18"/>
  <c r="E83" i="18" a="1"/>
  <c r="E83" i="18"/>
  <c r="F83" i="18" a="1"/>
  <c r="F83" i="18"/>
  <c r="G83" i="18" a="1"/>
  <c r="G83" i="18"/>
  <c r="H83" i="18" a="1"/>
  <c r="H83" i="18"/>
  <c r="I83" i="18" a="1"/>
  <c r="I83" i="18"/>
  <c r="J83" i="18" a="1"/>
  <c r="J83" i="18"/>
  <c r="K83" i="18" a="1"/>
  <c r="K83" i="18"/>
  <c r="L83" i="18" a="1"/>
  <c r="L83" i="18"/>
  <c r="M83" i="18" a="1"/>
  <c r="M83" i="18"/>
  <c r="N83" i="18" a="1"/>
  <c r="N83" i="18"/>
  <c r="C84" i="18" a="1"/>
  <c r="C84" i="18"/>
  <c r="D84" i="18" a="1"/>
  <c r="D84" i="18"/>
  <c r="E84" i="18" a="1"/>
  <c r="E84" i="18"/>
  <c r="F84" i="18" a="1"/>
  <c r="F84" i="18"/>
  <c r="G84" i="18" a="1"/>
  <c r="G84" i="18"/>
  <c r="H84" i="18" a="1"/>
  <c r="H84" i="18"/>
  <c r="I84" i="18" a="1"/>
  <c r="I84" i="18"/>
  <c r="J84" i="18" a="1"/>
  <c r="J84" i="18"/>
  <c r="K84" i="18" a="1"/>
  <c r="K84" i="18"/>
  <c r="L84" i="18" a="1"/>
  <c r="L84" i="18"/>
  <c r="M84" i="18" a="1"/>
  <c r="M84" i="18"/>
  <c r="N84" i="18" a="1"/>
  <c r="N84" i="18"/>
  <c r="C85" i="18" a="1"/>
  <c r="C85" i="18"/>
  <c r="D85" i="18" a="1"/>
  <c r="D85" i="18"/>
  <c r="E85" i="18" a="1"/>
  <c r="E85" i="18"/>
  <c r="F85" i="18" a="1"/>
  <c r="F85" i="18"/>
  <c r="G85" i="18" a="1"/>
  <c r="G85" i="18"/>
  <c r="H85" i="18" a="1"/>
  <c r="H85" i="18"/>
  <c r="I85" i="18" a="1"/>
  <c r="I85" i="18"/>
  <c r="J85" i="18" a="1"/>
  <c r="J85" i="18"/>
  <c r="K85" i="18" a="1"/>
  <c r="K85" i="18"/>
  <c r="L85" i="18" a="1"/>
  <c r="L85" i="18"/>
  <c r="M85" i="18" a="1"/>
  <c r="M85" i="18"/>
  <c r="N85" i="18" a="1"/>
  <c r="N85" i="18"/>
  <c r="D80" i="18" a="1"/>
  <c r="D80" i="18"/>
  <c r="E80" i="18" a="1"/>
  <c r="E80" i="18"/>
  <c r="F80" i="18" a="1"/>
  <c r="F80" i="18"/>
  <c r="G80" i="18" a="1"/>
  <c r="G80" i="18"/>
  <c r="G86" i="18"/>
  <c r="H80" i="18" a="1"/>
  <c r="H80" i="18"/>
  <c r="H86" i="18"/>
  <c r="I80" i="18" a="1"/>
  <c r="I80" i="18"/>
  <c r="I86" i="18"/>
  <c r="J80" i="18" a="1"/>
  <c r="J80" i="18"/>
  <c r="J86" i="18"/>
  <c r="K80" i="18" a="1"/>
  <c r="K80" i="18"/>
  <c r="K86" i="18"/>
  <c r="L80" i="18" a="1"/>
  <c r="L80" i="18"/>
  <c r="L86" i="18"/>
  <c r="M80" i="18" a="1"/>
  <c r="M80" i="18"/>
  <c r="M86" i="18"/>
  <c r="N80" i="18" a="1"/>
  <c r="N80" i="18"/>
  <c r="N86" i="18"/>
  <c r="C80" i="18" a="1"/>
  <c r="C80" i="18"/>
  <c r="C70" i="18" a="1"/>
  <c r="C70" i="18"/>
  <c r="D70" i="18" a="1"/>
  <c r="D70" i="18"/>
  <c r="E70" i="18" a="1"/>
  <c r="E70" i="18"/>
  <c r="F70" i="18" a="1"/>
  <c r="F70" i="18"/>
  <c r="G70" i="18" a="1"/>
  <c r="G70" i="18"/>
  <c r="H70" i="18" a="1"/>
  <c r="H70" i="18"/>
  <c r="I70" i="18" a="1"/>
  <c r="I70" i="18"/>
  <c r="J70" i="18" a="1"/>
  <c r="J70" i="18"/>
  <c r="K70" i="18" a="1"/>
  <c r="K70" i="18"/>
  <c r="L70" i="18" a="1"/>
  <c r="L70" i="18"/>
  <c r="M70" i="18" a="1"/>
  <c r="M70" i="18"/>
  <c r="N70" i="18" a="1"/>
  <c r="N70" i="18"/>
  <c r="C71" i="18" a="1"/>
  <c r="C71" i="18"/>
  <c r="D71" i="18" a="1"/>
  <c r="D71" i="18"/>
  <c r="E71" i="18" a="1"/>
  <c r="E71" i="18"/>
  <c r="F71" i="18" a="1"/>
  <c r="F71" i="18"/>
  <c r="G71" i="18" a="1"/>
  <c r="G71" i="18"/>
  <c r="H71" i="18" a="1"/>
  <c r="H71" i="18"/>
  <c r="I71" i="18" a="1"/>
  <c r="I71" i="18"/>
  <c r="J71" i="18" a="1"/>
  <c r="J71" i="18"/>
  <c r="K71" i="18" a="1"/>
  <c r="K71" i="18"/>
  <c r="L71" i="18" a="1"/>
  <c r="L71" i="18"/>
  <c r="M71" i="18" a="1"/>
  <c r="M71" i="18"/>
  <c r="N71" i="18" a="1"/>
  <c r="N71" i="18"/>
  <c r="C72" i="18" a="1"/>
  <c r="C72" i="18"/>
  <c r="D72" i="18" a="1"/>
  <c r="D72" i="18"/>
  <c r="E72" i="18" a="1"/>
  <c r="E72" i="18"/>
  <c r="F72" i="18" a="1"/>
  <c r="F72" i="18"/>
  <c r="G72" i="18" a="1"/>
  <c r="G72" i="18"/>
  <c r="H72" i="18" a="1"/>
  <c r="H72" i="18"/>
  <c r="I72" i="18" a="1"/>
  <c r="I72" i="18"/>
  <c r="J72" i="18" a="1"/>
  <c r="J72" i="18"/>
  <c r="K72" i="18" a="1"/>
  <c r="K72" i="18"/>
  <c r="L72" i="18" a="1"/>
  <c r="L72" i="18"/>
  <c r="M72" i="18" a="1"/>
  <c r="M72" i="18"/>
  <c r="N72" i="18" a="1"/>
  <c r="N72" i="18"/>
  <c r="C73" i="18" a="1"/>
  <c r="C73" i="18"/>
  <c r="D73" i="18" a="1"/>
  <c r="D73" i="18"/>
  <c r="E73" i="18" a="1"/>
  <c r="E73" i="18"/>
  <c r="F73" i="18" a="1"/>
  <c r="F73" i="18"/>
  <c r="G73" i="18" a="1"/>
  <c r="G73" i="18"/>
  <c r="H73" i="18" a="1"/>
  <c r="H73" i="18"/>
  <c r="I73" i="18" a="1"/>
  <c r="I73" i="18"/>
  <c r="J73" i="18" a="1"/>
  <c r="J73" i="18"/>
  <c r="K73" i="18" a="1"/>
  <c r="K73" i="18"/>
  <c r="L73" i="18" a="1"/>
  <c r="L73" i="18"/>
  <c r="M73" i="18" a="1"/>
  <c r="M73" i="18"/>
  <c r="N73" i="18" a="1"/>
  <c r="N73" i="18"/>
  <c r="D69" i="18" a="1"/>
  <c r="D69" i="18"/>
  <c r="E69" i="18" a="1"/>
  <c r="E69" i="18"/>
  <c r="F69" i="18" a="1"/>
  <c r="F69" i="18"/>
  <c r="C43" i="23"/>
  <c r="G69" i="18" a="1"/>
  <c r="G69" i="18"/>
  <c r="H69" i="18" a="1"/>
  <c r="H69" i="18"/>
  <c r="I69" i="18" a="1"/>
  <c r="I69" i="18"/>
  <c r="J69" i="18" a="1"/>
  <c r="J69" i="18"/>
  <c r="K69" i="18" a="1"/>
  <c r="K69" i="18"/>
  <c r="L69" i="18" a="1"/>
  <c r="L69" i="18"/>
  <c r="M69" i="18" a="1"/>
  <c r="M69" i="18"/>
  <c r="N69" i="18" a="1"/>
  <c r="N69" i="18"/>
  <c r="C69" i="18" a="1"/>
  <c r="C69" i="18"/>
  <c r="G87" i="18"/>
  <c r="G89" i="18"/>
  <c r="G97" i="18"/>
  <c r="K97" i="18"/>
  <c r="H97" i="18"/>
  <c r="J97" i="18"/>
  <c r="I97" i="18"/>
  <c r="H89" i="18"/>
  <c r="N97" i="18"/>
  <c r="C48" i="23"/>
  <c r="F97" i="18"/>
  <c r="M97" i="18"/>
  <c r="E97" i="18"/>
  <c r="I89" i="18"/>
  <c r="L97" i="18"/>
  <c r="D97" i="18"/>
  <c r="L125" i="18"/>
  <c r="K127" i="18"/>
  <c r="K126" i="18"/>
  <c r="K89" i="18"/>
  <c r="J89" i="18"/>
  <c r="N89" i="18"/>
  <c r="M89" i="18"/>
  <c r="L89" i="18"/>
  <c r="C87" i="18"/>
  <c r="C89" i="18"/>
  <c r="F89" i="18"/>
  <c r="E87" i="18"/>
  <c r="E89" i="18"/>
  <c r="D87" i="18"/>
  <c r="D89" i="18"/>
  <c r="C86" i="18"/>
  <c r="I88" i="18"/>
  <c r="D86" i="18"/>
  <c r="K88" i="18"/>
  <c r="J88" i="18"/>
  <c r="E86" i="18"/>
  <c r="L88" i="18"/>
  <c r="G88" i="18"/>
  <c r="N88" i="18"/>
  <c r="H88" i="18"/>
  <c r="M88" i="18"/>
  <c r="F86" i="18"/>
  <c r="D64" i="18" a="1"/>
  <c r="D64" i="18"/>
  <c r="E64" i="18" a="1"/>
  <c r="E64" i="18"/>
  <c r="F64" i="18" a="1"/>
  <c r="F64" i="18"/>
  <c r="G64" i="18" a="1"/>
  <c r="G64" i="18"/>
  <c r="H64" i="18" a="1"/>
  <c r="H64" i="18"/>
  <c r="I64" i="18" a="1"/>
  <c r="I64" i="18"/>
  <c r="J64" i="18" a="1"/>
  <c r="J64" i="18"/>
  <c r="K64" i="18" a="1"/>
  <c r="K64" i="18"/>
  <c r="L64" i="18" a="1"/>
  <c r="L64" i="18"/>
  <c r="M64" i="18" a="1"/>
  <c r="M64" i="18"/>
  <c r="N64" i="18" a="1"/>
  <c r="N64" i="18"/>
  <c r="C64" i="18" a="1"/>
  <c r="C64" i="18"/>
  <c r="C63" i="18" a="1"/>
  <c r="C63" i="18"/>
  <c r="D63" i="18" a="1"/>
  <c r="D63" i="18"/>
  <c r="E63" i="18" a="1"/>
  <c r="E63" i="18"/>
  <c r="F63" i="18" a="1"/>
  <c r="F63" i="18"/>
  <c r="G63" i="18" a="1"/>
  <c r="G63" i="18"/>
  <c r="H63" i="18" a="1"/>
  <c r="H63" i="18"/>
  <c r="I63" i="18" a="1"/>
  <c r="I63" i="18"/>
  <c r="J63" i="18" a="1"/>
  <c r="J63" i="18"/>
  <c r="K63" i="18" a="1"/>
  <c r="K63" i="18"/>
  <c r="L63" i="18" a="1"/>
  <c r="L63" i="18"/>
  <c r="M63" i="18" a="1"/>
  <c r="M63" i="18"/>
  <c r="N63" i="18" a="1"/>
  <c r="N63" i="18"/>
  <c r="D62" i="18" a="1"/>
  <c r="D62" i="18"/>
  <c r="E62" i="18" a="1"/>
  <c r="E62" i="18"/>
  <c r="F62" i="18" a="1"/>
  <c r="F62" i="18"/>
  <c r="G62" i="18" a="1"/>
  <c r="G62" i="18"/>
  <c r="H62" i="18" a="1"/>
  <c r="H62" i="18"/>
  <c r="I62" i="18" a="1"/>
  <c r="I62" i="18"/>
  <c r="J62" i="18" a="1"/>
  <c r="J62" i="18"/>
  <c r="K62" i="18" a="1"/>
  <c r="K62" i="18"/>
  <c r="L62" i="18" a="1"/>
  <c r="L62" i="18"/>
  <c r="M62" i="18" a="1"/>
  <c r="M62" i="18"/>
  <c r="N62" i="18" a="1"/>
  <c r="N62" i="18"/>
  <c r="C62" i="18" a="1"/>
  <c r="C62" i="18"/>
  <c r="D61" i="18" a="1"/>
  <c r="D61" i="18"/>
  <c r="E61" i="18" a="1"/>
  <c r="E61" i="18"/>
  <c r="F61" i="18" a="1"/>
  <c r="F61" i="18"/>
  <c r="G61" i="18" a="1"/>
  <c r="G61" i="18"/>
  <c r="H61" i="18" a="1"/>
  <c r="H61" i="18"/>
  <c r="I61" i="18" a="1"/>
  <c r="I61" i="18"/>
  <c r="J61" i="18" a="1"/>
  <c r="J61" i="18"/>
  <c r="K61" i="18" a="1"/>
  <c r="K61" i="18"/>
  <c r="L61" i="18" a="1"/>
  <c r="L61" i="18"/>
  <c r="M61" i="18" a="1"/>
  <c r="M61" i="18"/>
  <c r="N61" i="18" a="1"/>
  <c r="N61" i="18"/>
  <c r="C61" i="18" a="1"/>
  <c r="C61" i="18"/>
  <c r="D59" i="18" a="1"/>
  <c r="D59" i="18"/>
  <c r="E59" i="18" a="1"/>
  <c r="E59" i="18"/>
  <c r="F59" i="18" a="1"/>
  <c r="F59" i="18"/>
  <c r="G59" i="18" a="1"/>
  <c r="G59" i="18"/>
  <c r="H59" i="18" a="1"/>
  <c r="H59" i="18"/>
  <c r="I59" i="18" a="1"/>
  <c r="I59" i="18"/>
  <c r="J59" i="18" a="1"/>
  <c r="J59" i="18"/>
  <c r="K59" i="18" a="1"/>
  <c r="K59" i="18"/>
  <c r="L59" i="18" a="1"/>
  <c r="L59" i="18"/>
  <c r="M59" i="18" a="1"/>
  <c r="M59" i="18"/>
  <c r="N59" i="18" a="1"/>
  <c r="N59" i="18"/>
  <c r="C59" i="18" a="1"/>
  <c r="C59" i="18"/>
  <c r="M125" i="18"/>
  <c r="L127" i="18"/>
  <c r="L126" i="18"/>
  <c r="C65" i="18"/>
  <c r="C88" i="18"/>
  <c r="D88" i="18"/>
  <c r="F65" i="18"/>
  <c r="F88" i="18"/>
  <c r="E88" i="18"/>
  <c r="J65" i="18"/>
  <c r="L65" i="18"/>
  <c r="E65" i="18"/>
  <c r="M65" i="18"/>
  <c r="K60" i="18"/>
  <c r="D60" i="18"/>
  <c r="I65" i="18"/>
  <c r="H65" i="18"/>
  <c r="N65" i="18"/>
  <c r="I60" i="18"/>
  <c r="C60" i="18"/>
  <c r="J60" i="18"/>
  <c r="F60" i="18"/>
  <c r="N60" i="18"/>
  <c r="K65" i="18"/>
  <c r="M60" i="18"/>
  <c r="L60" i="18"/>
  <c r="E60" i="18"/>
  <c r="D65" i="18"/>
  <c r="G65" i="18"/>
  <c r="H60" i="18"/>
  <c r="N125" i="18"/>
  <c r="M127" i="18"/>
  <c r="M126" i="18"/>
  <c r="C34" i="18"/>
  <c r="E38" i="16"/>
  <c r="D12" i="16"/>
  <c r="E12" i="16"/>
  <c r="F12" i="16"/>
  <c r="F33" i="18" a="1"/>
  <c r="F33" i="18"/>
  <c r="D13" i="16"/>
  <c r="C13" i="16"/>
  <c r="N127" i="18"/>
  <c r="N126" i="18"/>
  <c r="G19" i="18"/>
  <c r="G28" i="18"/>
  <c r="C48" i="16"/>
  <c r="E47" i="16"/>
  <c r="E46" i="16"/>
  <c r="C46" i="16"/>
  <c r="D68" i="16"/>
  <c r="G5" i="18"/>
  <c r="C19" i="18"/>
  <c r="G20" i="18"/>
  <c r="I28" i="18"/>
  <c r="J34" i="18"/>
  <c r="I34" i="18"/>
  <c r="H28" i="18"/>
  <c r="C28" i="18"/>
  <c r="C6" i="18"/>
  <c r="F28" i="18"/>
  <c r="C7" i="18"/>
  <c r="H34" i="18"/>
  <c r="J19" i="18"/>
  <c r="I19" i="18"/>
  <c r="H19" i="18"/>
  <c r="F19" i="18"/>
  <c r="N19" i="18"/>
  <c r="N28" i="18"/>
  <c r="E28" i="18"/>
  <c r="M28" i="18"/>
  <c r="D28" i="18"/>
  <c r="E34" i="18"/>
  <c r="M19" i="18"/>
  <c r="E19" i="18"/>
  <c r="M34" i="18"/>
  <c r="D34" i="18"/>
  <c r="L19" i="18"/>
  <c r="D19" i="18"/>
  <c r="L28" i="18"/>
  <c r="K28" i="18"/>
  <c r="L34" i="18"/>
  <c r="J28" i="18"/>
  <c r="K34" i="18"/>
  <c r="K19" i="18"/>
  <c r="N34" i="18"/>
  <c r="F34" i="18"/>
  <c r="G34" i="18"/>
  <c r="G6" i="18"/>
  <c r="D29" i="18"/>
  <c r="C5" i="18"/>
  <c r="H7" i="18"/>
  <c r="H35" i="18"/>
  <c r="F5" i="18"/>
  <c r="C30" i="23"/>
  <c r="F20" i="18"/>
  <c r="M5" i="18"/>
  <c r="M9" i="18"/>
  <c r="M53" i="18"/>
  <c r="M20" i="18"/>
  <c r="I5" i="18"/>
  <c r="I9" i="18"/>
  <c r="I53" i="18"/>
  <c r="I20" i="18"/>
  <c r="I6" i="18"/>
  <c r="I29" i="18"/>
  <c r="F7" i="18"/>
  <c r="C32" i="23"/>
  <c r="F35" i="18"/>
  <c r="L5" i="18"/>
  <c r="L9" i="18"/>
  <c r="L53" i="18"/>
  <c r="L20" i="18"/>
  <c r="E5" i="18"/>
  <c r="E20" i="18"/>
  <c r="L7" i="18"/>
  <c r="L35" i="18"/>
  <c r="I7" i="18"/>
  <c r="I35" i="18"/>
  <c r="E7" i="18"/>
  <c r="E35" i="18"/>
  <c r="G7" i="18"/>
  <c r="D6" i="18"/>
  <c r="M6" i="18"/>
  <c r="M29" i="18"/>
  <c r="D7" i="18"/>
  <c r="D9" i="18"/>
  <c r="D53" i="18"/>
  <c r="D35" i="18"/>
  <c r="N6" i="18"/>
  <c r="N29" i="18"/>
  <c r="F6" i="18"/>
  <c r="C31" i="23"/>
  <c r="F29" i="18"/>
  <c r="J6" i="18"/>
  <c r="J29" i="18"/>
  <c r="H6" i="18"/>
  <c r="H29" i="18"/>
  <c r="H5" i="18"/>
  <c r="H9" i="18"/>
  <c r="H53" i="18"/>
  <c r="H20" i="18"/>
  <c r="K6" i="18"/>
  <c r="K29" i="18"/>
  <c r="J7" i="18"/>
  <c r="J35" i="18"/>
  <c r="L6" i="18"/>
  <c r="L29" i="18"/>
  <c r="J5" i="18"/>
  <c r="J9" i="18"/>
  <c r="J53" i="18"/>
  <c r="J20" i="18"/>
  <c r="D5" i="18"/>
  <c r="D20" i="18"/>
  <c r="N7" i="18"/>
  <c r="N35" i="18"/>
  <c r="E6" i="18"/>
  <c r="E29" i="18"/>
  <c r="K5" i="18"/>
  <c r="K9" i="18"/>
  <c r="K53" i="18"/>
  <c r="K20" i="18"/>
  <c r="K7" i="18"/>
  <c r="K35" i="18"/>
  <c r="M7" i="18"/>
  <c r="M35" i="18"/>
  <c r="N5" i="18"/>
  <c r="N9" i="18"/>
  <c r="N53" i="18"/>
  <c r="N20" i="18"/>
  <c r="G29" i="18"/>
  <c r="G53" i="18"/>
  <c r="C9" i="18"/>
  <c r="C53" i="18"/>
  <c r="D10" i="18"/>
  <c r="C15" i="23"/>
  <c r="E9" i="18"/>
  <c r="E53" i="18"/>
  <c r="F9" i="18"/>
  <c r="F53" i="18"/>
  <c r="H10" i="18"/>
  <c r="F10" i="18"/>
  <c r="K10" i="18"/>
  <c r="J10" i="18"/>
  <c r="I10" i="18"/>
  <c r="N10" i="18"/>
  <c r="L10" i="18"/>
  <c r="M10" i="18"/>
  <c r="B6" i="23"/>
  <c r="B9" i="23"/>
  <c r="C18" i="23"/>
  <c r="E10" i="18"/>
  <c r="C19" i="23"/>
  <c r="F33" i="7"/>
  <c r="G33" i="7"/>
  <c r="E33" i="7"/>
  <c r="F32" i="7"/>
  <c r="G32" i="7"/>
  <c r="E32" i="7"/>
  <c r="C21" i="23"/>
  <c r="C24" i="23"/>
  <c r="C25"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<sst xmlns="http://schemas.openxmlformats.org/spreadsheetml/2006/main" count="1194" uniqueCount="712">
  <si>
    <t>CO₂-uitstoot volgens verbruiksbenadering - Beverwijk</t>
  </si>
  <si>
    <t/>
  </si>
  <si>
    <t>Totaal bekende CO₂-uitstoot (aardgas, elektr., stadswarmte woningen, voertuigbrandstoffen)</t>
  </si>
  <si>
    <t>?</t>
  </si>
  <si>
    <t>CO₂-uitstoot Gebouwde omgeving (aardgas, elektr. en stadswarmte woningen)</t>
  </si>
  <si>
    <t>CO₂-uitstoot t.g.v. geladen elektriciteit elektrische auto's bij (semi)publieke laadpunten</t>
  </si>
  <si>
    <t>CO₂-uitstoot Verkeer en vervoer incl. auto(snel)wegen (fossiele brandstoffen)</t>
  </si>
  <si>
    <t>CO₂-uitstoot Landbouw, bosbouw en visserij, SBI A (aardgas, elektr.)</t>
  </si>
  <si>
    <t>Speciale waarden</t>
  </si>
  <si>
    <t>? Ontbreekt</t>
  </si>
  <si>
    <t>Eenheid</t>
  </si>
  <si>
    <t>kton</t>
  </si>
  <si>
    <t>Bron</t>
  </si>
  <si>
    <t>Berekening CO₂-uitstoot o.b.v. emissiefactoren</t>
  </si>
  <si>
    <t>Optelling en bijschatting door RVO o.b.v. CBS-gegevens</t>
  </si>
  <si>
    <t>Schatting laden bij (semi)publieke laadpunten</t>
  </si>
  <si>
    <t>Emissieregistratie - CO₂-uitstoot verkeer en vervoer</t>
  </si>
  <si>
    <t>klimaatmonitor.databank.nl</t>
  </si>
  <si>
    <t>Datum export</t>
  </si>
  <si>
    <t>CO₂-uitstoot  - Beverwijk</t>
  </si>
  <si>
    <t>Uitlaatgassen wegverkeer totaal (incl. auto(snel)wegen, fossiele brandstoffen)</t>
  </si>
  <si>
    <t>Mobiele werktuigen (fossiele brandstoffen)</t>
  </si>
  <si>
    <t>Binnenvaart, recreatievaart en visserij (fossiele brandstoffen)</t>
  </si>
  <si>
    <t>Railverkeer (fossiele brandstof)</t>
  </si>
  <si>
    <t>Uitlaatgassen wegverkeer excl. auto(snel)wegen (fossiele brandstoffen)</t>
  </si>
  <si>
    <t>Uitlaatgassen wegverkeer bebouwde kom (&lt; 60 km/h, fossiele brandstoffen)</t>
  </si>
  <si>
    <t>Uitlaatgassen wegverkeer buitenwegen (&gt; 59 km/h &lt; 100 km/h, fossiele brandstoffen)</t>
  </si>
  <si>
    <t>Uitlaatgassen wegverkeer auto(snel)wegen (&gt; 99 km/h, fossiele brandstoffen)</t>
  </si>
  <si>
    <r>
      <t>CO</t>
    </r>
    <r>
      <rPr>
        <b/>
        <sz val="8"/>
        <color theme="1"/>
        <rFont val="Calibri (Hoofdtekst)"/>
      </rPr>
      <t>2</t>
    </r>
    <r>
      <rPr>
        <b/>
        <sz val="12"/>
        <color theme="1"/>
        <rFont val="Calibri"/>
        <family val="2"/>
        <scheme val="minor"/>
      </rPr>
      <t>-uitstoot verkeer en vervoer</t>
    </r>
  </si>
  <si>
    <t>Handel, SBI G (aardgas en elektr.)</t>
  </si>
  <si>
    <t>Vervoer en Opslag (aardgas, elektr. incl. elektr. railverkeer) (SBI H)</t>
  </si>
  <si>
    <t xml:space="preserve"> Horeca, SBI I (aardgas en elektr.)</t>
  </si>
  <si>
    <t>Informatie en communicatie, SBI J (aardgas en elektr.)</t>
  </si>
  <si>
    <t>Financiële dienstverlening, SBI K (aardgas en elektr.)</t>
  </si>
  <si>
    <t>Verhuur en handel van onroerend goed, SBI L (aardgas en elektr.)</t>
  </si>
  <si>
    <t>Specialistische zakelijke diensten, SBI M (aardgas en elektr.)</t>
  </si>
  <si>
    <t>Verhuur en overige zakelijke diensten, SBI N (aardgas en elektr.)</t>
  </si>
  <si>
    <t>Openbaar bestuur en defensie; verpl. sociale verzekeringen, SBI O (aardgas en elektr.)</t>
  </si>
  <si>
    <t>Onderwijs, SBI P (aardgas en elektr.)</t>
  </si>
  <si>
    <t>Gezondheids- en welzijnszorg, SBI Q (aardgas en elektr.)</t>
  </si>
  <si>
    <t>Cultuur, sport en recreatie, SBI R (aardgas en elektr.)</t>
  </si>
  <si>
    <t>Overige dienstverlening, SBI S (aardgas en elektr.)</t>
  </si>
  <si>
    <t>Extraterritoriale organisaties, SBI U (aardgas en elektr.)</t>
  </si>
  <si>
    <t>Aantal woningen per 1 januari [aantal]</t>
  </si>
  <si>
    <t>Aantal woningen met verwarming op basis van aardgas  (benadering) [aantal]</t>
  </si>
  <si>
    <t>Aantal woningen met elektrische verwarming (benadering) [aantal]</t>
  </si>
  <si>
    <t>Aantal woningen met stadsverwarming (benadering) [aantal]</t>
  </si>
  <si>
    <t>Aantal woningen waar verwarmingsinstallatie onbekend is (benadering) [aantal]</t>
  </si>
  <si>
    <t>Percentage woningen dat is voorzien van een geldig energielabel [%]</t>
  </si>
  <si>
    <t>Woningen met geldig energielabel A t/m A++++ [aantal]</t>
  </si>
  <si>
    <t>Woningen met geregistreerd energielabel B [aantal]</t>
  </si>
  <si>
    <t>Woningen met geregistreerd energielabel C [aantal]</t>
  </si>
  <si>
    <t>Woningen met geregistreerd energielabel D [aantal]</t>
  </si>
  <si>
    <t>Woningen met geregistreerd energielabel E [aantal]</t>
  </si>
  <si>
    <t>Woningen met geregistreerd energielabel F [aantal]</t>
  </si>
  <si>
    <t>Woningen met geregistreerd energielabel G [aantal]</t>
  </si>
  <si>
    <t>CBS - Kerncijfers Wijken en buurten</t>
  </si>
  <si>
    <t>CBS - Statistiek hoofdverwarmingsinstallaties woningen</t>
  </si>
  <si>
    <t>CBS - Statistiek zonnestroom en schatting RVO</t>
  </si>
  <si>
    <t>RVO - Energielabels</t>
  </si>
  <si>
    <t>RVO - Registratiesysteem voor energielabels van woningen</t>
  </si>
  <si>
    <t>Aantal personenauto's per 1 januari</t>
  </si>
  <si>
    <t>Aantal bedrijfsauto's per 1 januari</t>
  </si>
  <si>
    <t>Batterij-elektrische voertuigen (BEV) totaal, geregistreerd bij eigenaar</t>
  </si>
  <si>
    <t>Plug-in hybride  voertuigen (PHEV) totaal, geregistreerd bij eigenaar</t>
  </si>
  <si>
    <t>Voertuigen op waterstof (FCEV) totaal, geregistreerd bij eigenaar</t>
  </si>
  <si>
    <t>Totaal aantal (semi)publieke laadpunten voor elektrische auto's</t>
  </si>
  <si>
    <t>Aantal reguliere laadpunten voor elektrische auto's</t>
  </si>
  <si>
    <t>Aantal snellaadpunten voor elektrische auto's</t>
  </si>
  <si>
    <t>Aantal publieke reguliere laadpunten voor elektrische auto's</t>
  </si>
  <si>
    <t>Aantal semi-publieke reguliere laadpunten voor elektrische auto's</t>
  </si>
  <si>
    <t>aantal</t>
  </si>
  <si>
    <t>CBS - Statistiek voertuigen</t>
  </si>
  <si>
    <t>RVO - Monitoring elektrisch vervoer o.b.v. gegevens RDW</t>
  </si>
  <si>
    <t>Registratie laadpunten Ecomovement, bewerking door RVO</t>
  </si>
  <si>
    <t>-</t>
  </si>
  <si>
    <t>Verdeling regionale gegevens hernieuwbare energie o.b.v. verdeelsleutel per gemeente</t>
  </si>
  <si>
    <t>Berekening (sub)totalen energieverbruik</t>
  </si>
  <si>
    <t>Uitstoot Overige broeikasgassen sector Elektriciteit</t>
  </si>
  <si>
    <t>Uitstoot overige broeikasgassen sector Gebouwde omgeving</t>
  </si>
  <si>
    <t>Uitstoot overige broeikasgassen sector Industrie</t>
  </si>
  <si>
    <t>Uitstoot overige broeikasgassen sector Mobiliteit excl. luchtvaart en zeevaart</t>
  </si>
  <si>
    <t>Emissies overige broeikassen Landbouw</t>
  </si>
  <si>
    <t>Uitstoot overige broeikasgassen Natuur</t>
  </si>
  <si>
    <t>kton CO2-equivalent</t>
  </si>
  <si>
    <t>Emissieregistratie - Uitstoot overige broeikasgassen</t>
  </si>
  <si>
    <t>Uitstoot per sector</t>
  </si>
  <si>
    <t>vrijdag 8 november 2024</t>
  </si>
  <si>
    <r>
      <t>CO</t>
    </r>
    <r>
      <rPr>
        <b/>
        <sz val="8"/>
        <color theme="1"/>
        <rFont val="Calibri (Hoofdtekst)"/>
      </rPr>
      <t>2</t>
    </r>
    <r>
      <rPr>
        <b/>
        <sz val="12"/>
        <color theme="1"/>
        <rFont val="Calibri"/>
        <family val="2"/>
        <scheme val="minor"/>
      </rPr>
      <t>-uitstoot per sector</t>
    </r>
  </si>
  <si>
    <t>Bron:</t>
  </si>
  <si>
    <t>CBS - Vestigingen van bedrijven</t>
  </si>
  <si>
    <r>
      <t>CO</t>
    </r>
    <r>
      <rPr>
        <b/>
        <sz val="8"/>
        <color theme="1"/>
        <rFont val="Calibri (Hoofdtekst)"/>
      </rPr>
      <t>2</t>
    </r>
    <r>
      <rPr>
        <b/>
        <sz val="12"/>
        <color theme="1"/>
        <rFont val="Calibri"/>
        <family val="2"/>
        <scheme val="minor"/>
      </rPr>
      <t>-uitstoot industrie</t>
    </r>
  </si>
  <si>
    <r>
      <t>CO</t>
    </r>
    <r>
      <rPr>
        <b/>
        <sz val="8"/>
        <color theme="1"/>
        <rFont val="Calibri (Hoofdtekst)"/>
      </rPr>
      <t>2</t>
    </r>
    <r>
      <rPr>
        <b/>
        <sz val="12"/>
        <color theme="1"/>
        <rFont val="Calibri"/>
        <family val="2"/>
        <scheme val="minor"/>
      </rPr>
      <t>-uitstoot gebouwde omgeving</t>
    </r>
  </si>
  <si>
    <t>Gebouwde omgeving (aardgas, elektr. en stadswarmte woningen)</t>
  </si>
  <si>
    <t>Woningen  (aardgas, elektriciteit en stadswarmte, temperatuurgecorrigeerd)</t>
  </si>
  <si>
    <t>Commerciële dienstverlening (aardgas, elektr. incl elektr. railverkeer)</t>
  </si>
  <si>
    <t>Publieke dienstverlening (aardgas en elektr.)</t>
  </si>
  <si>
    <t>t.g.v. geladen elektriciteit elektrische auto's bij (semi)publieke laadpunten</t>
  </si>
  <si>
    <t>Verkeer en vervoer incl. auto(snel)wegen (fossiele brandstoffen)</t>
  </si>
  <si>
    <t>Binnenscheepvaart (fossiele brandstoffen)</t>
  </si>
  <si>
    <t>Recreatievaart (fossiele brandstoffen)</t>
  </si>
  <si>
    <t>Visserij (fossiele brandstoffen)</t>
  </si>
  <si>
    <t>CO₂-uitstoot Landbouw, bosbouw en visserij, SBI A (aardgas, elektr.) [kton]</t>
  </si>
  <si>
    <t>CO₂-uitstoot Landbouw, bosbouw en visserij, SBI  A (aardgas) [kton]</t>
  </si>
  <si>
    <t>CO₂-uitstoot Landbouw, bosbouw en visserij, SBI  A (elektr.) [kton]</t>
  </si>
  <si>
    <t>Vestigingen Landbouw, bosbouw en visserij (SBI A) [aantal]</t>
  </si>
  <si>
    <r>
      <rPr>
        <b/>
        <sz val="16"/>
        <color theme="1"/>
        <rFont val="Calibri (Hoofdtekst)"/>
      </rPr>
      <t>BRONDATA CO</t>
    </r>
    <r>
      <rPr>
        <b/>
        <sz val="8"/>
        <color theme="1"/>
        <rFont val="Calibri (Hoofdtekst)"/>
      </rPr>
      <t>2</t>
    </r>
  </si>
  <si>
    <t>Uitstoot overige broeikasgassen in CO₂-equivalenten - Beverwijk</t>
  </si>
  <si>
    <t>Totaal emissies overige broeikasgassen (CO₂-eq.) excl. luchtvaart en zeevaart</t>
  </si>
  <si>
    <t>Uitstoot Overig - Lachgas (N₂O)</t>
  </si>
  <si>
    <t>https://klimaatmonitor.databank.nl/Jive?workspace_guid=ebb6dd76-c73d-4a6a-94cd-e47391a9394d</t>
  </si>
  <si>
    <t>Uitstoot industrie</t>
  </si>
  <si>
    <t>https://klimaatmonitor.databank.nl/Jive?workspace_guid=477b04cc-2583-4f9c-98b2-a402b529af29</t>
  </si>
  <si>
    <t>Totaal emissies overige broeikasgassen (CO₂-eq.) excl. luchtvaart en zeevaart [kton CO2-equivalent]</t>
  </si>
  <si>
    <t>Uitstoot overige broeikasgassen sector Industrie [kton CO2-equivalent]</t>
  </si>
  <si>
    <t>Uitstoot overige broeikasgassen sector Industrie - Lachgas [ton CO2-equivalent]</t>
  </si>
  <si>
    <t>Uitstoot overige broeikasgassen sector Industrie - Methaan [ton CO2-equivalent]</t>
  </si>
  <si>
    <t>Uitstoot overige broeikasgassen sector Industrie - F-gassen [ton CO2-equivalent]</t>
  </si>
  <si>
    <t>TJ</t>
  </si>
  <si>
    <t>Energieverbruik</t>
  </si>
  <si>
    <t xml:space="preserve">Bron  </t>
  </si>
  <si>
    <t>Mobiliteit</t>
  </si>
  <si>
    <t>Datasets mobiliteit - Beverwijk</t>
  </si>
  <si>
    <t>Personenauto's op aardgas (CNG), geregistreerd bij eigenaar</t>
  </si>
  <si>
    <t xml:space="preserve">Aantal </t>
  </si>
  <si>
    <t>50% van SBI 24: Vervaardiging van metalen in primaire vorm in 2022 3543,07
en 50% van afvalwaterzuivering</t>
  </si>
  <si>
    <t>Industrie, energie, afval en water</t>
  </si>
  <si>
    <t>Gebouwde omgeving</t>
  </si>
  <si>
    <t>Verkeer en vervoer</t>
  </si>
  <si>
    <t>Lanfbouw, bosbouw en visserij</t>
  </si>
  <si>
    <t>Landbouw, bosbouw en visserij</t>
  </si>
  <si>
    <t>Totaal</t>
  </si>
  <si>
    <t>BRONDATA OVERIG BROEIKASGASSEN</t>
  </si>
  <si>
    <t>Gevoelstemperatuur</t>
  </si>
  <si>
    <t>CO₂-uitstoot Industrie, Energie, Afval en Water (aardgas en elektr.)</t>
  </si>
  <si>
    <t>CO₂-uitstoot Industrie, Energie, Afval en Water (aardgas, excl. Energievoorziening (SBI D))</t>
  </si>
  <si>
    <t>CO₂-uitstoot Industrie, Energie, Afval en Water (elektriciteit)</t>
  </si>
  <si>
    <t>CO₂-uitstoot Delfstoffenwinning, SBI B (aardgas en elektr.)</t>
  </si>
  <si>
    <t>CO₂-uitstoot Industrie, SBI C (aardgas en elektr.)</t>
  </si>
  <si>
    <t>CO₂-uitstoot Energievoorziening, SBI D (alleen elektr.verbruik)</t>
  </si>
  <si>
    <t>CO₂-uitstoot Waterbedrijven en afvalbeheer (SBI E, aardgas en elektr.)</t>
  </si>
  <si>
    <t>CO₂-uitstoot Bouwnijverheid, SBI F (aardgas en elektr.)</t>
  </si>
  <si>
    <t>CO₂-uitstoot Delfstoffenwinning, SBI B (aardgas)</t>
  </si>
  <si>
    <t>CO₂-uitstoot Industrie (aardgas)</t>
  </si>
  <si>
    <t>CO2-uitstoot Waterbedrijven en afvalbeheer, SBI E (aardgas)</t>
  </si>
  <si>
    <t>CO₂-uitstoot Bouwnijverheid, SBI F (aardgas)</t>
  </si>
  <si>
    <t>CO₂-uitstoot Delfstoffenwinning, SBI B (elektr.)</t>
  </si>
  <si>
    <t>CO₂-uitstoot Industrie (elektr.)</t>
  </si>
  <si>
    <t>CO₂-uitstoot Energievoorziening (SBI D) (elektr.verbruik)</t>
  </si>
  <si>
    <t>CO2-uitstoot Waterbedrijven en afvalbeheer, SBI E (elektr.)</t>
  </si>
  <si>
    <t>CO₂-uitstoot Bouwnijverheid, SBI F (elektr.)</t>
  </si>
  <si>
    <r>
      <t>CO</t>
    </r>
    <r>
      <rPr>
        <b/>
        <sz val="8"/>
        <color rgb="FF00395B"/>
        <rFont val="Calibri"/>
        <family val="2"/>
        <scheme val="minor"/>
      </rPr>
      <t>2</t>
    </r>
    <r>
      <rPr>
        <b/>
        <sz val="12"/>
        <color rgb="FF00395B"/>
        <rFont val="Calibri"/>
        <family val="2"/>
        <scheme val="minor"/>
      </rPr>
      <t>-uitstoot landbouw</t>
    </r>
  </si>
  <si>
    <t>Sectoren</t>
  </si>
  <si>
    <t>Industrie</t>
  </si>
  <si>
    <t>Verschil t.o.v. 2019</t>
  </si>
  <si>
    <t>Emissies 2019</t>
  </si>
  <si>
    <t>Emissies gekozen jaar</t>
  </si>
  <si>
    <t>Target emissies 2030</t>
  </si>
  <si>
    <t>Label</t>
  </si>
  <si>
    <t>Reduction Percentage:</t>
  </si>
  <si>
    <t>Energie</t>
  </si>
  <si>
    <t>Hernieuwbare elektriciteit TJ</t>
  </si>
  <si>
    <t>Hernieuwbare warmte TJ</t>
  </si>
  <si>
    <t>Hernieuwbare energie voor verkeer en vervoer TJ</t>
  </si>
  <si>
    <t>% hernieuwbaar van totaal energieverbruik</t>
  </si>
  <si>
    <t>Totaal  - Beverwijk</t>
  </si>
  <si>
    <t>bekend energieverbruik (incl. hern. warmte, zonnestroom 'achter de meter' en auto(snel)wegen)</t>
  </si>
  <si>
    <t>bekende hernieuwbare energie</t>
  </si>
  <si>
    <t>bekende hernieuwbare elektriciteit</t>
  </si>
  <si>
    <t>bekende hernieuwbare warmte</t>
  </si>
  <si>
    <t>bekende hernieuwbare energie voor vervoer</t>
  </si>
  <si>
    <t>Totaal niet hernieuwbare energieverburik TJ</t>
  </si>
  <si>
    <t>Totaal bekend energieverbruik</t>
  </si>
  <si>
    <t>Zonnestroom opwek</t>
  </si>
  <si>
    <t>Zonnestroom  - Beverwijk</t>
  </si>
  <si>
    <t>[TJ]</t>
  </si>
  <si>
    <t>(MkWh) [GWh (miljoen kWh)]</t>
  </si>
  <si>
    <t>(systemen kleiner dan of gelijk aan 15 kW) [GWh (miljoen kWh)]</t>
  </si>
  <si>
    <t>(systemen groter dan 15 kW) [GWh (miljoen kWh)]</t>
  </si>
  <si>
    <t>opgewekt door zonnepanelen op woningen [TJ]</t>
  </si>
  <si>
    <t>Systemen kleiner dan 15 kWh (milijoen kWh)</t>
  </si>
  <si>
    <t>Systemen groter dan 15 kWh (milijoen kWh)</t>
  </si>
  <si>
    <t>Opgewekt door zonnepanelen op woningen TJ</t>
  </si>
  <si>
    <t>Voertuigen totaal</t>
  </si>
  <si>
    <t>Laadpunten</t>
  </si>
  <si>
    <t>Totaal aantal auto's</t>
  </si>
  <si>
    <t>Aantal niet duurzame auto's</t>
  </si>
  <si>
    <t>Aantal duurzamere auto's</t>
  </si>
  <si>
    <t>Woningen</t>
  </si>
  <si>
    <t>Datasets woningen - Beverwijk</t>
  </si>
  <si>
    <t xml:space="preserve"> </t>
  </si>
  <si>
    <t>Geen label</t>
  </si>
  <si>
    <t>Type verwarmingen</t>
  </si>
  <si>
    <t>Energielabels</t>
  </si>
  <si>
    <r>
      <t>CO</t>
    </r>
    <r>
      <rPr>
        <b/>
        <sz val="11"/>
        <color theme="1"/>
        <rFont val="Calibri (Hoofdtekst)"/>
      </rPr>
      <t>2</t>
    </r>
    <r>
      <rPr>
        <b/>
        <sz val="18"/>
        <color theme="1"/>
        <rFont val="Calibri"/>
        <family val="2"/>
        <scheme val="minor"/>
      </rPr>
      <t>-uitstoot</t>
    </r>
  </si>
  <si>
    <r>
      <t>Totale CO</t>
    </r>
    <r>
      <rPr>
        <b/>
        <sz val="8"/>
        <color theme="1"/>
        <rFont val="Calibri (Hoofdtekst)"/>
      </rPr>
      <t>2</t>
    </r>
    <r>
      <rPr>
        <b/>
        <sz val="12"/>
        <color theme="1"/>
        <rFont val="Calibri"/>
        <family val="2"/>
        <scheme val="minor"/>
      </rPr>
      <t>-uitstoot</t>
    </r>
  </si>
  <si>
    <t>Kg per inwoner - Beverwijk</t>
  </si>
  <si>
    <t>Totaal huishoudelijk afval</t>
  </si>
  <si>
    <t>Huishoudelijk restafval</t>
  </si>
  <si>
    <t>Voorlopig</t>
  </si>
  <si>
    <t>kg per inwoner</t>
  </si>
  <si>
    <t>CBS - Huishoudelijk afval</t>
  </si>
  <si>
    <t>www.waarstaatjegemeente.nl</t>
  </si>
  <si>
    <t>https://www.waarstaatjegemeente.nl/viewer?workspace_guid=5031c6be-f616-47ae-a3ff-95e8798727b6</t>
  </si>
  <si>
    <t>Grafiek 1</t>
  </si>
  <si>
    <t>Landbouw, bosbouw en visserij*</t>
  </si>
  <si>
    <t>* De bijdrage van landbouw, bosbouw en visserij is in vergelijking met andere sectoren zo gering dat deze buiten beschouwing kan worden gelaten. Bovendien wordt hier in Beverwijk niet actief op gestuurd; in deze sector worden de landelijke doelen gevolgd.</t>
  </si>
  <si>
    <t>Totale CO2- uitstoot filter op jaar</t>
  </si>
  <si>
    <t>Vooruitgang naar de doelstelling</t>
  </si>
  <si>
    <t>Vooruitgang</t>
  </si>
  <si>
    <t>Resterend</t>
  </si>
  <si>
    <t>Procentuele afname over de jaren</t>
  </si>
  <si>
    <t>Procentuele afname t.o.v 2019</t>
  </si>
  <si>
    <t>Overige broeikasgassen</t>
  </si>
  <si>
    <t>*Overige broeikasgassen worden niet meegenomen in de klimaatmonitor, omdat de gemeente hierop weinig invloed heeft (RWZI is de belangrijkste bron) en het aandeel hiervan naar verwachting gering is in verhouding tot de totale uitstoot.</t>
  </si>
  <si>
    <t>Thermometer grafiek</t>
  </si>
  <si>
    <t>Taartdiagram</t>
  </si>
  <si>
    <t>OBJECTID</t>
  </si>
  <si>
    <t>BU_CODE</t>
  </si>
  <si>
    <t>BU_NAAM</t>
  </si>
  <si>
    <t>GM_CODE</t>
  </si>
  <si>
    <t>GM_NAAM</t>
  </si>
  <si>
    <t>BEV_DICHTH</t>
  </si>
  <si>
    <t>AANT_INW</t>
  </si>
  <si>
    <t>def_wijkty</t>
  </si>
  <si>
    <t>G_WOZ</t>
  </si>
  <si>
    <t>HuurwTperc</t>
  </si>
  <si>
    <t>F18MoeiteMe</t>
  </si>
  <si>
    <t>F18ErnstigZ</t>
  </si>
  <si>
    <t>F1865ErnsOv</t>
  </si>
  <si>
    <t>BrozeGezon</t>
  </si>
  <si>
    <t>Paal_Huidig</t>
  </si>
  <si>
    <t>Paalrot_2050_Hoog</t>
  </si>
  <si>
    <t>Verschilzetting_2050_Hoog</t>
  </si>
  <si>
    <t>perc5_10mm</t>
  </si>
  <si>
    <t>perc10_15mm</t>
  </si>
  <si>
    <t>perc15_20mm</t>
  </si>
  <si>
    <t>perc20_30mm</t>
  </si>
  <si>
    <t>perc30mmME</t>
  </si>
  <si>
    <t>percNODATA</t>
  </si>
  <si>
    <t>P_H_SOCMIN</t>
  </si>
  <si>
    <t>GLGHuidigMean</t>
  </si>
  <si>
    <t>GLG2050HoogMean</t>
  </si>
  <si>
    <t>P_schaduw_fw</t>
  </si>
  <si>
    <t>m2GroenPI</t>
  </si>
  <si>
    <t>percentage_water_excl_agrarisch</t>
  </si>
  <si>
    <t>buurt_opp_zonderagr</t>
  </si>
  <si>
    <t>buurt_opp_incl_agrarisch</t>
  </si>
  <si>
    <t>perc_groen_zonder_agr</t>
  </si>
  <si>
    <t>openbaar_opp</t>
  </si>
  <si>
    <t>nietopenbaar_opp</t>
  </si>
  <si>
    <t>bebouwing_opp</t>
  </si>
  <si>
    <t>water_opp</t>
  </si>
  <si>
    <t>agrarisch_opp</t>
  </si>
  <si>
    <t>transitie_opp</t>
  </si>
  <si>
    <t>overig_opp</t>
  </si>
  <si>
    <t>boom_perc_openbaar</t>
  </si>
  <si>
    <t>openbaar_perc_groen</t>
  </si>
  <si>
    <t>openbaar_perc_nietgroen</t>
  </si>
  <si>
    <t>boom_perc_niet_openbaar</t>
  </si>
  <si>
    <t>niet_openbaar_perc_groen</t>
  </si>
  <si>
    <t>niet_openbaar_perc_nietgroen</t>
  </si>
  <si>
    <t>perc_laaggroen</t>
  </si>
  <si>
    <t>perc_boom</t>
  </si>
  <si>
    <t>perc_nietgroen</t>
  </si>
  <si>
    <t>perc_water</t>
  </si>
  <si>
    <t>Shape_Length</t>
  </si>
  <si>
    <t>Shape_Area</t>
  </si>
  <si>
    <t>PET29tm34p</t>
  </si>
  <si>
    <t>PET35tm40p</t>
  </si>
  <si>
    <t>PET41tm45p</t>
  </si>
  <si>
    <t>PET46tm50p</t>
  </si>
  <si>
    <t>PET51plusp</t>
  </si>
  <si>
    <t>PET_NDp</t>
  </si>
  <si>
    <t>BU03750202</t>
  </si>
  <si>
    <t>Beijnes</t>
  </si>
  <si>
    <t>GM0375</t>
  </si>
  <si>
    <t>Beverwijk</t>
  </si>
  <si>
    <t>Bedrijven</t>
  </si>
  <si>
    <t>268</t>
  </si>
  <si>
    <t>65</t>
  </si>
  <si>
    <t>13.5</t>
  </si>
  <si>
    <t>20.5</t>
  </si>
  <si>
    <t>29</t>
  </si>
  <si>
    <t>51,9607272727272</t>
  </si>
  <si>
    <t>BU03750601</t>
  </si>
  <si>
    <t>Zwaansmeer</t>
  </si>
  <si>
    <t>Tuinstad laagbouw</t>
  </si>
  <si>
    <t>276</t>
  </si>
  <si>
    <t>59</t>
  </si>
  <si>
    <t>12.5</t>
  </si>
  <si>
    <t>19.3</t>
  </si>
  <si>
    <t>32.6</t>
  </si>
  <si>
    <t>73,1239877300613</t>
  </si>
  <si>
    <t>BU03750501</t>
  </si>
  <si>
    <t>Creutzberglaan</t>
  </si>
  <si>
    <t>Groen</t>
  </si>
  <si>
    <t>401</t>
  </si>
  <si>
    <t>5</t>
  </si>
  <si>
    <t>8</t>
  </si>
  <si>
    <t>13.6</t>
  </si>
  <si>
    <t>18.8</t>
  </si>
  <si>
    <t>765,189014084505</t>
  </si>
  <si>
    <t>BU03750400</t>
  </si>
  <si>
    <t>Warande</t>
  </si>
  <si>
    <t>Villa</t>
  </si>
  <si>
    <t>395</t>
  </si>
  <si>
    <t>14</t>
  </si>
  <si>
    <t>7.9</t>
  </si>
  <si>
    <t>12.8</t>
  </si>
  <si>
    <t>21</t>
  </si>
  <si>
    <t>79,8911627906977</t>
  </si>
  <si>
    <t>BU03750800</t>
  </si>
  <si>
    <t>Wijk aan Zee</t>
  </si>
  <si>
    <t>281</t>
  </si>
  <si>
    <t>37</t>
  </si>
  <si>
    <t>9.9</t>
  </si>
  <si>
    <t>14.8</t>
  </si>
  <si>
    <t>21.9</t>
  </si>
  <si>
    <t>245,97195842956</t>
  </si>
  <si>
    <t>BU03750502</t>
  </si>
  <si>
    <t>Binnenduin</t>
  </si>
  <si>
    <t>593</t>
  </si>
  <si>
    <t>10</t>
  </si>
  <si>
    <t>5.8</t>
  </si>
  <si>
    <t>11.2</t>
  </si>
  <si>
    <t>186,920476190476</t>
  </si>
  <si>
    <t>BU03751002</t>
  </si>
  <si>
    <t>De Ladder Zuid</t>
  </si>
  <si>
    <t>Vernieuwd</t>
  </si>
  <si>
    <t>354</t>
  </si>
  <si>
    <t>55</t>
  </si>
  <si>
    <t>16.2</t>
  </si>
  <si>
    <t>25.2</t>
  </si>
  <si>
    <t>28,1811972789114</t>
  </si>
  <si>
    <t>BU03750002</t>
  </si>
  <si>
    <t>Koningstraat</t>
  </si>
  <si>
    <t>227</t>
  </si>
  <si>
    <t>49</t>
  </si>
  <si>
    <t>17.4</t>
  </si>
  <si>
    <t>32.4</t>
  </si>
  <si>
    <t>7,11709157509157</t>
  </si>
  <si>
    <t>BU03750200</t>
  </si>
  <si>
    <t>Oranjebuurt</t>
  </si>
  <si>
    <t>285</t>
  </si>
  <si>
    <t>46</t>
  </si>
  <si>
    <t>15</t>
  </si>
  <si>
    <t>19.5</t>
  </si>
  <si>
    <t>26.6</t>
  </si>
  <si>
    <t>12,4610857142857</t>
  </si>
  <si>
    <t>BU03751003</t>
  </si>
  <si>
    <t>Waterwijk</t>
  </si>
  <si>
    <t>Sub-urbane uitbreiding - VINEX</t>
  </si>
  <si>
    <t>461</t>
  </si>
  <si>
    <t>24</t>
  </si>
  <si>
    <t>8.4</t>
  </si>
  <si>
    <t>14.5</t>
  </si>
  <si>
    <t>22.3</t>
  </si>
  <si>
    <t>19,1710289389067</t>
  </si>
  <si>
    <t>BU03750004</t>
  </si>
  <si>
    <t>Sint Aagtendorp</t>
  </si>
  <si>
    <t>Volkswijk</t>
  </si>
  <si>
    <t>241</t>
  </si>
  <si>
    <t>52</t>
  </si>
  <si>
    <t>15.2</t>
  </si>
  <si>
    <t>18.9</t>
  </si>
  <si>
    <t>31.8</t>
  </si>
  <si>
    <t>3,74284415584414</t>
  </si>
  <si>
    <t>BU03750600</t>
  </si>
  <si>
    <t>Oosterwijk</t>
  </si>
  <si>
    <t>214</t>
  </si>
  <si>
    <t>74</t>
  </si>
  <si>
    <t>17.5</t>
  </si>
  <si>
    <t>20.7</t>
  </si>
  <si>
    <t>35.3</t>
  </si>
  <si>
    <t>34,5604418985269</t>
  </si>
  <si>
    <t>BU03750500</t>
  </si>
  <si>
    <t>Westertuinen</t>
  </si>
  <si>
    <t>Bloemkoolwijk</t>
  </si>
  <si>
    <t>364</t>
  </si>
  <si>
    <t>11</t>
  </si>
  <si>
    <t>7.8</t>
  </si>
  <si>
    <t>14.7</t>
  </si>
  <si>
    <t>46,5137516629712</t>
  </si>
  <si>
    <t>BU03750000</t>
  </si>
  <si>
    <t>Wijkertoren</t>
  </si>
  <si>
    <t>205</t>
  </si>
  <si>
    <t>15.3</t>
  </si>
  <si>
    <t>17.7</t>
  </si>
  <si>
    <t>34.7</t>
  </si>
  <si>
    <t>19,2644689655172</t>
  </si>
  <si>
    <t>BU03750302</t>
  </si>
  <si>
    <t>Kuenenplein</t>
  </si>
  <si>
    <t>215</t>
  </si>
  <si>
    <t>77</t>
  </si>
  <si>
    <t>17.2</t>
  </si>
  <si>
    <t>19.9</t>
  </si>
  <si>
    <t>31.5</t>
  </si>
  <si>
    <t>24,9797275747508</t>
  </si>
  <si>
    <t>BU03750201</t>
  </si>
  <si>
    <t>Oud Sportpark</t>
  </si>
  <si>
    <t>230</t>
  </si>
  <si>
    <t>51</t>
  </si>
  <si>
    <t>29.9</t>
  </si>
  <si>
    <t>24,1543692307692</t>
  </si>
  <si>
    <t>BU03751001</t>
  </si>
  <si>
    <t>De Ladder Noord</t>
  </si>
  <si>
    <t>396</t>
  </si>
  <si>
    <t>41</t>
  </si>
  <si>
    <t>10.3</t>
  </si>
  <si>
    <t>16.8</t>
  </si>
  <si>
    <t>15,3030092592592</t>
  </si>
  <si>
    <t>BU03750901</t>
  </si>
  <si>
    <t>Kagerweg</t>
  </si>
  <si>
    <t>6.2</t>
  </si>
  <si>
    <t>14.1</t>
  </si>
  <si>
    <t>15489,6432</t>
  </si>
  <si>
    <t>BU03750801</t>
  </si>
  <si>
    <t>Industriegebied Hoogovens</t>
  </si>
  <si>
    <t>BU03750703</t>
  </si>
  <si>
    <t>Overbos</t>
  </si>
  <si>
    <t>293</t>
  </si>
  <si>
    <t>9.3</t>
  </si>
  <si>
    <t>15.8</t>
  </si>
  <si>
    <t>26.2</t>
  </si>
  <si>
    <t>151,899276595745</t>
  </si>
  <si>
    <t>BU03750102</t>
  </si>
  <si>
    <t>Westerhout</t>
  </si>
  <si>
    <t>6.8</t>
  </si>
  <si>
    <t>13.4</t>
  </si>
  <si>
    <t>23091,012</t>
  </si>
  <si>
    <t>BU03750300</t>
  </si>
  <si>
    <t>Plantage</t>
  </si>
  <si>
    <t>257</t>
  </si>
  <si>
    <t>54</t>
  </si>
  <si>
    <t>14.2</t>
  </si>
  <si>
    <t>18.7</t>
  </si>
  <si>
    <t>29.7</t>
  </si>
  <si>
    <t>14,5503797468354</t>
  </si>
  <si>
    <t>BU03750702</t>
  </si>
  <si>
    <t>Wijkerbaan</t>
  </si>
  <si>
    <t>Hoogbouw</t>
  </si>
  <si>
    <t>248</t>
  </si>
  <si>
    <t>64</t>
  </si>
  <si>
    <t>16.9</t>
  </si>
  <si>
    <t>32.2</t>
  </si>
  <si>
    <t>18,6118844621514</t>
  </si>
  <si>
    <t>BU03750100</t>
  </si>
  <si>
    <t>Vondellaan</t>
  </si>
  <si>
    <t>414</t>
  </si>
  <si>
    <t>36</t>
  </si>
  <si>
    <t>9</t>
  </si>
  <si>
    <t>13.1</t>
  </si>
  <si>
    <t>25.1</t>
  </si>
  <si>
    <t>194,932052631579</t>
  </si>
  <si>
    <t>BU03750900</t>
  </si>
  <si>
    <t>De Pijp</t>
  </si>
  <si>
    <t>9.6</t>
  </si>
  <si>
    <t>27.4</t>
  </si>
  <si>
    <t>2878,59416666666</t>
  </si>
  <si>
    <t>BU03751000</t>
  </si>
  <si>
    <t>Lanen</t>
  </si>
  <si>
    <t>444</t>
  </si>
  <si>
    <t>13</t>
  </si>
  <si>
    <t>13.2</t>
  </si>
  <si>
    <t>35,4428642447418</t>
  </si>
  <si>
    <t>BU03750001</t>
  </si>
  <si>
    <t>Meerplein</t>
  </si>
  <si>
    <t>219</t>
  </si>
  <si>
    <t>40</t>
  </si>
  <si>
    <t>16.3</t>
  </si>
  <si>
    <t>26.3</t>
  </si>
  <si>
    <t>29,9406901960783</t>
  </si>
  <si>
    <t>BU03750902</t>
  </si>
  <si>
    <t>Wijkerbroek</t>
  </si>
  <si>
    <t>488</t>
  </si>
  <si>
    <t>5.6</t>
  </si>
  <si>
    <t>17498,0387272727</t>
  </si>
  <si>
    <t>BU03750701</t>
  </si>
  <si>
    <t>Fokkerlaan</t>
  </si>
  <si>
    <t>Tuinstad hoogbouw</t>
  </si>
  <si>
    <t>278</t>
  </si>
  <si>
    <t>64,3145277777778</t>
  </si>
  <si>
    <t>BU03750700</t>
  </si>
  <si>
    <t>Bleriotlaan</t>
  </si>
  <si>
    <t>213</t>
  </si>
  <si>
    <t>76</t>
  </si>
  <si>
    <t>18.2</t>
  </si>
  <si>
    <t>20.6</t>
  </si>
  <si>
    <t>39,7844504021448</t>
  </si>
  <si>
    <t>BU03750003</t>
  </si>
  <si>
    <t>Burgerhartstraat</t>
  </si>
  <si>
    <t>262</t>
  </si>
  <si>
    <t>25</t>
  </si>
  <si>
    <t>11.5</t>
  </si>
  <si>
    <t>13,2839708737864</t>
  </si>
  <si>
    <t>BU03750101</t>
  </si>
  <si>
    <t>Ronde Boogaard</t>
  </si>
  <si>
    <t>323</t>
  </si>
  <si>
    <t>18</t>
  </si>
  <si>
    <t>24.4</t>
  </si>
  <si>
    <t>28,0607105263157</t>
  </si>
  <si>
    <t>BU03750301</t>
  </si>
  <si>
    <t>Oostertuinen</t>
  </si>
  <si>
    <t>Tuindorp</t>
  </si>
  <si>
    <t>234</t>
  </si>
  <si>
    <t>13.7</t>
  </si>
  <si>
    <t>18.1</t>
  </si>
  <si>
    <t>35.2</t>
  </si>
  <si>
    <t>19,5868556701031</t>
  </si>
  <si>
    <t>BU03750005</t>
  </si>
  <si>
    <t>Reguliersstraat</t>
  </si>
  <si>
    <t>18.4</t>
  </si>
  <si>
    <t>30.1</t>
  </si>
  <si>
    <t>2,93220183486239</t>
  </si>
  <si>
    <t>BU03750401</t>
  </si>
  <si>
    <t>De Horn</t>
  </si>
  <si>
    <t>Naoorlogse woonwijk</t>
  </si>
  <si>
    <t>357</t>
  </si>
  <si>
    <t>0</t>
  </si>
  <si>
    <t>7.2</t>
  </si>
  <si>
    <t>12.4</t>
  </si>
  <si>
    <t>21.4</t>
  </si>
  <si>
    <t>33,488868852459</t>
  </si>
  <si>
    <t>BU03750303</t>
  </si>
  <si>
    <t>De Naald</t>
  </si>
  <si>
    <t>10.7</t>
  </si>
  <si>
    <t>24.3</t>
  </si>
  <si>
    <t>8,68197647058823</t>
  </si>
  <si>
    <t>Buurt</t>
  </si>
  <si>
    <t>29 - 34 °C</t>
  </si>
  <si>
    <t>35 - 40 °C</t>
  </si>
  <si>
    <t>41 - 45 °C</t>
  </si>
  <si>
    <t>46 - 50 °C</t>
  </si>
  <si>
    <t>51 °C +</t>
  </si>
  <si>
    <t>Geen data</t>
  </si>
  <si>
    <t>Bron: https://www.klimaateffectatlas.nl/nl/buurtdashboard</t>
  </si>
  <si>
    <t xml:space="preserve">Opwek zonnestroom </t>
  </si>
  <si>
    <t>Totaal opwek zonnestroom TJ</t>
  </si>
  <si>
    <t>Totaal opwek zonnestroom milijoen kWh</t>
  </si>
  <si>
    <t>Totaal bekend hernieuwbare energieverbruik TJ</t>
  </si>
  <si>
    <t xml:space="preserve">Laadpunten </t>
  </si>
  <si>
    <t>Overige broeikasgassen*</t>
  </si>
  <si>
    <t>Percentage overige broeikasgassen tov totale CO₂-eq uitstoot</t>
  </si>
  <si>
    <t>% duurzamere verwarming</t>
  </si>
  <si>
    <t>Aantal geregistreerde installaties met zonnepanelen woningen [aantal]</t>
  </si>
  <si>
    <t>% toename van woningen met zonepanelen t.o.v 2019</t>
  </si>
  <si>
    <t>% duurzamere auto's</t>
  </si>
  <si>
    <t>Circulair</t>
  </si>
  <si>
    <t>% afnaame van restafval</t>
  </si>
  <si>
    <t>Aantal bomen</t>
  </si>
  <si>
    <t>Saldo</t>
  </si>
  <si>
    <t xml:space="preserve">Uitleg over het updaten van de monitor. </t>
  </si>
  <si>
    <t>Instructie</t>
  </si>
  <si>
    <t>Tabblad 9</t>
  </si>
  <si>
    <t xml:space="preserve">Data van overige broeikasgassen uit de klimaatmonitor. </t>
  </si>
  <si>
    <t>Tabblad 8</t>
  </si>
  <si>
    <t>Data over woningen uit de klimaatmonitor.</t>
  </si>
  <si>
    <t>Brondata Woningen</t>
  </si>
  <si>
    <t>Tabblad 7</t>
  </si>
  <si>
    <t xml:space="preserve">Data over mobiliteit uit de klimaatmonitor. </t>
  </si>
  <si>
    <t>Brondata Mobiliteit</t>
  </si>
  <si>
    <t>Tabblad 6</t>
  </si>
  <si>
    <t>Data over energie uit de klimaatmonitor.</t>
  </si>
  <si>
    <t>Brondata Energie</t>
  </si>
  <si>
    <t>Tabblad 5</t>
  </si>
  <si>
    <t>Tabblad 4</t>
  </si>
  <si>
    <t>Berekeningen</t>
  </si>
  <si>
    <t>Tabblad 3</t>
  </si>
  <si>
    <t>Monitor</t>
  </si>
  <si>
    <t>Tabblad 2</t>
  </si>
  <si>
    <t>Huidig tabblad.</t>
  </si>
  <si>
    <t>Introductie</t>
  </si>
  <si>
    <t>Tabblad 1</t>
  </si>
  <si>
    <t xml:space="preserve">Inhoudsopgave </t>
  </si>
  <si>
    <t>Klimaat monitor Beverwijk</t>
  </si>
  <si>
    <t xml:space="preserve">Zie als voorbeeld 'CO2 uitstoot per sector' in het tabblad 'Brondata CO2'; hier hebben wij beide manieren toegepast. </t>
  </si>
  <si>
    <r>
      <t xml:space="preserve">Aangegeven met </t>
    </r>
    <r>
      <rPr>
        <b/>
        <sz val="12"/>
        <color rgb="FF7030A0"/>
        <rFont val="Calibri (Hoofdtekst)"/>
      </rPr>
      <t>paars</t>
    </r>
    <r>
      <rPr>
        <sz val="12"/>
        <color theme="1"/>
        <rFont val="Calibri"/>
        <family val="2"/>
        <scheme val="minor"/>
      </rPr>
      <t xml:space="preserve">: Het ontbrekende getal is berekend door de totale uitstoot van een jaar min de overige getallen te doen. </t>
    </r>
  </si>
  <si>
    <r>
      <t xml:space="preserve">Aangegeven met </t>
    </r>
    <r>
      <rPr>
        <b/>
        <sz val="12"/>
        <color rgb="FFFF0000"/>
        <rFont val="Calibri (Hoofdtekst)"/>
      </rPr>
      <t>rood</t>
    </r>
    <r>
      <rPr>
        <sz val="12"/>
        <color theme="1"/>
        <rFont val="Calibri"/>
        <family val="2"/>
        <scheme val="minor"/>
      </rPr>
      <t xml:space="preserve">: Het ontbrekende getal is berekend door een gemiddelde van voorgaande jaren te nemen of een getal over te nemen van een vorig of volgend jaar. </t>
    </r>
  </si>
  <si>
    <t xml:space="preserve">Wij hebben waar mogelijk data aangevuld op een van onderstaande manieren: </t>
  </si>
  <si>
    <t xml:space="preserve">Ontbrekende data vanuit klimaatmonitor wordt aangegeven met een '?'. </t>
  </si>
  <si>
    <t xml:space="preserve">De tabbladen Berekeningen en de Monitor zijn dynamisch en worden dus automatisch aangevuld na aanvullingen in de brondata tabbladen. </t>
  </si>
  <si>
    <t xml:space="preserve">Check of er ontbrekende data is (aangegeven met een '?'). Waar mogelijk, vul deze ontbrekende data op dezelfde manier aan als wij al hebben gedaan. Zie hieronder voor een toelichting hierop. </t>
  </si>
  <si>
    <t xml:space="preserve">Plak deze kolom in het juiste 'brondata' tabblad bij het juiste onderwerp achter het vorige jaar (voor de eerste keer dus achter 2022).  </t>
  </si>
  <si>
    <t>Kopieer in dit excel bestand alleen de kolom van het nieuwe jaar (voor de eerste keer dus 2023).</t>
  </si>
  <si>
    <t xml:space="preserve">Zodra in de klimaatmonitor de gegevens over 2023 zijn toegevoegd, zal dat jaar aangevinkt kunnen worden (onderin bij 'Jaar'). Nu zijn de jaren 2019 t/m 2023 aangevinkt en is de data uit deze jaren zichtbaar. </t>
  </si>
  <si>
    <t xml:space="preserve">Dan kan er nieuwe data worden toegevoegd volgens onderstaand stappenplan. En zo ook voor de daaropvolgende jaren. </t>
  </si>
  <si>
    <t>Deze monitor bevat data tot en met 2022. Begin 2025 verwachten wij dat de complete data van 2023 bekend is.</t>
  </si>
  <si>
    <t xml:space="preserve">Stappenplan nieuwe data toevoegen </t>
  </si>
  <si>
    <t>Brondata Overige Broeikasgassen</t>
  </si>
  <si>
    <t>Klimaat Monitor Beverwijk</t>
  </si>
  <si>
    <t xml:space="preserve">Opbouw Klimaat monitor </t>
  </si>
  <si>
    <t>Aantal gekapte bomen</t>
  </si>
  <si>
    <t>Aantal geplante bomen</t>
  </si>
  <si>
    <t>Cumulatief aantal</t>
  </si>
  <si>
    <t>Bomenbalans</t>
  </si>
  <si>
    <t>% toename van laadpunten t.o.v. 2019</t>
  </si>
  <si>
    <t>Gevoelstemperatuur op een hete zomerdag</t>
  </si>
  <si>
    <t>BRONDATA GROENE KPI'S</t>
  </si>
  <si>
    <t>Stedin - fm_support@stedin.net</t>
  </si>
  <si>
    <t>Aantal woningen van het gas af per jaar</t>
  </si>
  <si>
    <t>% toename aantal woningen van het gas af</t>
  </si>
  <si>
    <t>Totaal aantal woningen van het gas af</t>
  </si>
  <si>
    <t>Woningen van gas af ten opzichten van woningen met gas</t>
  </si>
  <si>
    <t>Hulptabellen voor grafieken</t>
  </si>
  <si>
    <t>Brondata Groene KPI's</t>
  </si>
  <si>
    <r>
      <t>Brondata CO</t>
    </r>
    <r>
      <rPr>
        <vertAlign val="subscript"/>
        <sz val="12"/>
        <color rgb="FF101315"/>
        <rFont val="Calibri (Hoofdtekst)"/>
      </rPr>
      <t>2</t>
    </r>
  </si>
  <si>
    <r>
      <t>Data over CO</t>
    </r>
    <r>
      <rPr>
        <vertAlign val="subscript"/>
        <sz val="12"/>
        <color theme="1"/>
        <rFont val="Calibri (Hoofdtekst)"/>
      </rPr>
      <t>2</t>
    </r>
    <r>
      <rPr>
        <sz val="12"/>
        <color theme="1"/>
        <rFont val="Calibri"/>
        <family val="2"/>
        <scheme val="minor"/>
      </rPr>
      <t xml:space="preserve"> uit de klimaatmonitor.</t>
    </r>
  </si>
  <si>
    <r>
      <t>Samenvatting in de vorm van een monitor met de CO</t>
    </r>
    <r>
      <rPr>
        <vertAlign val="subscript"/>
        <sz val="12"/>
        <color theme="1"/>
        <rFont val="Calibri (Hoofdtekst)"/>
      </rPr>
      <t>2</t>
    </r>
    <r>
      <rPr>
        <sz val="12"/>
        <color theme="1"/>
        <rFont val="Calibri"/>
        <family val="2"/>
        <scheme val="minor"/>
      </rPr>
      <t xml:space="preserve">-uitstoot en groene en circulaire thema's. </t>
    </r>
  </si>
  <si>
    <t>Tabblad 10</t>
  </si>
  <si>
    <t>Tabblad 11</t>
  </si>
  <si>
    <t>Berekeningen Groene KPI's</t>
  </si>
  <si>
    <t xml:space="preserve">Aantal bomen </t>
  </si>
  <si>
    <t xml:space="preserve">Overzicht van de data uit de klimaatmonitor in de hoofdcategorieen en belangrijke percentages. </t>
  </si>
  <si>
    <t xml:space="preserve">Overzicht van de groene KPI data. </t>
  </si>
  <si>
    <t>BRONDATA ENERGIE</t>
  </si>
  <si>
    <t>BRONDATA MOBILITEIT</t>
  </si>
  <si>
    <t>BRONDATA WONINGEN</t>
  </si>
  <si>
    <t>Bron: Gemeente Beverwijk: Ton Zuidervaart &amp; Marc Montauban</t>
  </si>
  <si>
    <r>
      <t>Brondata CO</t>
    </r>
    <r>
      <rPr>
        <vertAlign val="subscript"/>
        <sz val="12"/>
        <color theme="1"/>
        <rFont val="Calibri (Hoofdtekst)"/>
      </rPr>
      <t>2</t>
    </r>
  </si>
  <si>
    <t xml:space="preserve">Data van de gemeente Beverwijk en uit de klimaateffectatlas. </t>
  </si>
  <si>
    <t xml:space="preserve">Data van de groene KPI's van de gemeente Beverwijk en uit de klimaateffectatlas. </t>
  </si>
  <si>
    <t xml:space="preserve">Overzicht van de klimaatmonitor data in de hoofdcategorieen. Dit tabblad wordt automatisch aangevuld. </t>
  </si>
  <si>
    <t>Data uit de klimaatmonitor per jaar.</t>
  </si>
  <si>
    <t>Introductie van de klimaatmonitor.</t>
  </si>
  <si>
    <r>
      <t>Samenvatting in de vorm van een monitor met de CO</t>
    </r>
    <r>
      <rPr>
        <vertAlign val="subscript"/>
        <sz val="12"/>
        <color theme="1"/>
        <rFont val="Calibri (Hoofdtekst)"/>
      </rPr>
      <t>2</t>
    </r>
    <r>
      <rPr>
        <sz val="12"/>
        <color theme="1"/>
        <rFont val="Calibri"/>
        <family val="2"/>
        <scheme val="minor"/>
      </rPr>
      <t xml:space="preserve">-uitstoot, groene en circulaire thema's. De monitor is dynamisch en wordt dus automatisch aangevuld bij invoer van nieuwe data. </t>
    </r>
  </si>
  <si>
    <r>
      <t xml:space="preserve">Data van de </t>
    </r>
    <r>
      <rPr>
        <b/>
        <sz val="12"/>
        <color theme="4" tint="-0.249977111117893"/>
        <rFont val="Calibri (Hoofdtekst)"/>
      </rPr>
      <t>klimaatmonitor</t>
    </r>
    <r>
      <rPr>
        <b/>
        <sz val="12"/>
        <color theme="1"/>
        <rFont val="Calibri"/>
        <family val="2"/>
        <scheme val="minor"/>
      </rPr>
      <t xml:space="preserve"> toevoegen</t>
    </r>
  </si>
  <si>
    <r>
      <t xml:space="preserve">Data van de </t>
    </r>
    <r>
      <rPr>
        <b/>
        <sz val="12"/>
        <color theme="4" tint="-0.249977111117893"/>
        <rFont val="Calibri (Hoofdtekst)"/>
      </rPr>
      <t>klimaateffectatlas</t>
    </r>
    <r>
      <rPr>
        <b/>
        <sz val="12"/>
        <color theme="1"/>
        <rFont val="Calibri"/>
        <family val="2"/>
        <scheme val="minor"/>
      </rPr>
      <t xml:space="preserve"> toevoegen </t>
    </r>
  </si>
  <si>
    <r>
      <rPr>
        <b/>
        <sz val="12"/>
        <color theme="4" tint="-0.249977111117893"/>
        <rFont val="Calibri (Hoofdtekst)"/>
      </rPr>
      <t>Eigen data</t>
    </r>
    <r>
      <rPr>
        <b/>
        <sz val="12"/>
        <color theme="1"/>
        <rFont val="Calibri"/>
        <family val="2"/>
        <scheme val="minor"/>
      </rPr>
      <t xml:space="preserve"> toevoegen</t>
    </r>
  </si>
  <si>
    <r>
      <t xml:space="preserve">Aanpak ontbrekende data </t>
    </r>
    <r>
      <rPr>
        <b/>
        <sz val="12"/>
        <color theme="4" tint="-0.249977111117893"/>
        <rFont val="Calibri (Hoofdtekst)"/>
      </rPr>
      <t>klimaatmonitor</t>
    </r>
  </si>
  <si>
    <t xml:space="preserve">Verander het jaar (dus voor de eerste keer 2023) naar een getal. Het staat namelijk opgeslagen als tekst. Dit kun je wijzigen door op het groene driehoekje dat bij het jaartal staat te klikken. Kies dan 'Converteren naar getal'. </t>
  </si>
  <si>
    <t xml:space="preserve">Er is momenteel alleen data beschikbaar van 'Gevoelstemperatuur' over het jaar 2023. Klimaateffectatlas is van plan om deze data jaarlijks aan te vullen. Volg onderstaande stappen bij nieuwe data: </t>
  </si>
  <si>
    <r>
      <t>In de tabbladen 5 t/m 9 staat er per onderwerp (CO</t>
    </r>
    <r>
      <rPr>
        <vertAlign val="subscript"/>
        <sz val="12"/>
        <color theme="1"/>
        <rFont val="Calibri (Hoofdtekst)"/>
      </rPr>
      <t>2</t>
    </r>
    <r>
      <rPr>
        <sz val="12"/>
        <color theme="1"/>
        <rFont val="Calibri"/>
        <family val="2"/>
        <scheme val="minor"/>
      </rPr>
      <t xml:space="preserve">-uitstoot industrie, energie, mobiliteit, etc.) een link naar de website van de Klimaatmonitor. </t>
    </r>
  </si>
  <si>
    <t>In tabblad 10 staat er een link naar de website van klimaateffectatlas.</t>
  </si>
  <si>
    <t xml:space="preserve">Download de data via de download knop (pijl naar beneden) linksboven in beeld. De data kan niet per gemeente of per indicator worden gedownload. </t>
  </si>
  <si>
    <t>Ga naar het tabblad 'Buurtdashboard data' in het excel bestand. Sorteer de data in kolom GM_NAAM van A tot Z en kopieer alle rijen van Beverwijk.</t>
  </si>
  <si>
    <t xml:space="preserve">Plak deze kolommen in het tabblad 'Brondata Groene KPI's'. </t>
  </si>
  <si>
    <t xml:space="preserve">Op dit moment is dit tabblad nog niet dynamisch en wordt de gevoelstemperatuur in de Monitor dus niet automatisch bijgewerkt. Dat moet dus nog gebeuren. </t>
  </si>
  <si>
    <t xml:space="preserve">De eigen data, data van de gemeente zelf, is op dit moment alleen de 'Bomenbalans'. Data uit nieuwe jaren kan aan het tabblad 'Brondate Groene KPI's' worden toegevoegd. </t>
  </si>
  <si>
    <t xml:space="preserve">Overzicht van de Groene KPI's data. Dit tabblad wordt deels automatisch aangevuld. </t>
  </si>
  <si>
    <r>
      <t xml:space="preserve">Download vervolgens deze data </t>
    </r>
    <r>
      <rPr>
        <sz val="12"/>
        <color theme="1"/>
        <rFont val="Calibri"/>
        <family val="2"/>
        <scheme val="minor"/>
      </rPr>
      <t xml:space="preserve"> als excel file via de download knop (pijl naar beneden) linksboven in beeld. </t>
    </r>
  </si>
  <si>
    <t xml:space="preserve">* Het ontbrekende getal is berekend door de totale uitstoot van een jaar min de overige getallen te doen. </t>
  </si>
  <si>
    <t>* Getal overgenomen van het jaar daarvoor of daarna, of het gemiddelde over meerdere jaren berekend</t>
  </si>
  <si>
    <t>* Berekend</t>
  </si>
  <si>
    <t>Voor deze data, klop aan bij Marc Montauban en Ton Zuidervaart.</t>
  </si>
  <si>
    <t>Invloedssfeer en Scope</t>
  </si>
  <si>
    <t>Toelichting invloeddsfeer van de gemeente en meegenomen datapunten (scope)</t>
  </si>
  <si>
    <r>
      <t xml:space="preserve">Voor de gemeente Beverwijk hebben we een toegankelijke en gebruiksvriendelijke klimaatmonitor ontwikkeld. Deze monitor maakt gebruik van gegevens uit de </t>
    </r>
    <r>
      <rPr>
        <i/>
        <sz val="12"/>
        <color rgb="FF101315"/>
        <rFont val="Calibri"/>
        <family val="2"/>
        <scheme val="minor"/>
      </rPr>
      <t>Klimaatmonitor</t>
    </r>
    <r>
      <rPr>
        <sz val="12"/>
        <color rgb="FF101315"/>
        <rFont val="Calibri"/>
        <family val="2"/>
        <scheme val="minor"/>
      </rPr>
      <t xml:space="preserve"> en </t>
    </r>
    <r>
      <rPr>
        <i/>
        <sz val="12"/>
        <color rgb="FF101315"/>
        <rFont val="Calibri"/>
        <family val="2"/>
        <scheme val="minor"/>
      </rPr>
      <t>Emissieregistratie</t>
    </r>
    <r>
      <rPr>
        <sz val="12"/>
        <color rgb="FF101315"/>
        <rFont val="Calibri"/>
        <family val="2"/>
        <scheme val="minor"/>
      </rPr>
      <t xml:space="preserve"> en bevat data vanaf 2019, die jaarlijks wordt geüpdatet. Omdat de </t>
    </r>
    <r>
      <rPr>
        <i/>
        <sz val="12"/>
        <color rgb="FF101315"/>
        <rFont val="Calibri"/>
        <family val="2"/>
        <scheme val="minor"/>
      </rPr>
      <t>Klimaatmonitor</t>
    </r>
    <r>
      <rPr>
        <sz val="12"/>
        <color rgb="FF101315"/>
        <rFont val="Calibri"/>
        <family val="2"/>
        <scheme val="minor"/>
      </rPr>
      <t xml:space="preserve"> enige vertraging heeft, is momenteel alleen de volledige dataset tot en met 2022 beschikbaar. Zodra nieuwe jaargegevens beschikbaar komen, worden deze direct aan de klimaatmonitor toegevoegd.
De klimaatmonitor geeft inzicht in de voortgang op het gebied van CO₂-reductie, </t>
    </r>
    <r>
      <rPr>
        <sz val="12"/>
        <color theme="3"/>
        <rFont val="Calibri (Hoofdtekst)"/>
      </rPr>
      <t>groene</t>
    </r>
    <r>
      <rPr>
        <sz val="12"/>
        <color theme="4"/>
        <rFont val="Calibri (Hoofdtekst)"/>
      </rPr>
      <t xml:space="preserve"> </t>
    </r>
    <r>
      <rPr>
        <sz val="12"/>
        <color rgb="FF101315"/>
        <rFont val="Calibri"/>
        <family val="2"/>
        <scheme val="minor"/>
      </rPr>
      <t xml:space="preserve">en circulaire thema's. Het doel is om te laten zien wat de gemeente al bereikt heeft op deze gebieden en hoe dit zich in de loop der jaren ontwikkelt.
De monitor is eenvoudig te begrijpen, waardoor het  geschikt is om met een breed publiek te delen, en het kan bovendien gemakkelijk worden bijgewerkt om actueel te blijven.
</t>
    </r>
  </si>
  <si>
    <t xml:space="preserve">Waar heeft de gemeente invloed op? </t>
  </si>
  <si>
    <r>
      <t>Voor de CO</t>
    </r>
    <r>
      <rPr>
        <vertAlign val="subscript"/>
        <sz val="14"/>
        <color theme="1"/>
        <rFont val="Calibri (Hoofdtekst)"/>
      </rPr>
      <t>2</t>
    </r>
    <r>
      <rPr>
        <sz val="14"/>
        <color theme="1"/>
        <rFont val="Calibri"/>
        <family val="2"/>
        <scheme val="minor"/>
      </rPr>
      <t xml:space="preserve"> uitstoot van de gemeente hebben we de sector </t>
    </r>
    <r>
      <rPr>
        <b/>
        <sz val="14"/>
        <color theme="1"/>
        <rFont val="Calibri"/>
        <family val="2"/>
        <scheme val="minor"/>
      </rPr>
      <t>Landbouw, bosbouw en visserij</t>
    </r>
    <r>
      <rPr>
        <sz val="14"/>
        <color theme="1"/>
        <rFont val="Calibri"/>
        <family val="2"/>
        <scheme val="minor"/>
      </rPr>
      <t xml:space="preserve"> niet meegenomen.  </t>
    </r>
  </si>
  <si>
    <r>
      <t xml:space="preserve">De uitstoot is </t>
    </r>
    <r>
      <rPr>
        <b/>
        <sz val="14"/>
        <color theme="1"/>
        <rFont val="Calibri"/>
        <family val="2"/>
        <scheme val="minor"/>
      </rPr>
      <t>gering</t>
    </r>
    <r>
      <rPr>
        <sz val="14"/>
        <color theme="1"/>
        <rFont val="Calibri"/>
        <family val="2"/>
        <scheme val="minor"/>
      </rPr>
      <t xml:space="preserve"> in verhouding tot de totale CO</t>
    </r>
    <r>
      <rPr>
        <vertAlign val="subscript"/>
        <sz val="14"/>
        <color theme="1"/>
        <rFont val="Calibri (Hoofdtekst)"/>
      </rPr>
      <t>2</t>
    </r>
    <r>
      <rPr>
        <sz val="14"/>
        <color theme="1"/>
        <rFont val="Calibri"/>
        <family val="2"/>
        <scheme val="minor"/>
      </rPr>
      <t xml:space="preserve"> uitstoot, namelijk 0,1% (in 2022).</t>
    </r>
  </si>
  <si>
    <r>
      <t xml:space="preserve">Daarnaast hebben we ook </t>
    </r>
    <r>
      <rPr>
        <b/>
        <sz val="14"/>
        <color theme="1"/>
        <rFont val="Calibri"/>
        <family val="2"/>
        <scheme val="minor"/>
      </rPr>
      <t>overige broeikasgassen</t>
    </r>
    <r>
      <rPr>
        <sz val="14"/>
        <color theme="1"/>
        <rFont val="Calibri"/>
        <family val="2"/>
        <scheme val="minor"/>
      </rPr>
      <t xml:space="preserve"> niet meegenomen. </t>
    </r>
  </si>
  <si>
    <r>
      <t xml:space="preserve">Het aandeel hiervan is </t>
    </r>
    <r>
      <rPr>
        <b/>
        <sz val="14"/>
        <color rgb="FF000000"/>
        <rFont val="Calibri"/>
        <family val="2"/>
      </rPr>
      <t>klein</t>
    </r>
    <r>
      <rPr>
        <sz val="14"/>
        <color rgb="FF000000"/>
        <rFont val="Calibri"/>
        <family val="2"/>
      </rPr>
      <t xml:space="preserve"> in verhouding tot de totale uitstoot, namelijk 9% (in 2022). </t>
    </r>
  </si>
  <si>
    <r>
      <t xml:space="preserve">Verder komt het grootste gedeelte van de overige broeikasgassen van de rioolwaterzuiveringsinstallatie (RWZI), waar de gemeente </t>
    </r>
    <r>
      <rPr>
        <b/>
        <sz val="14"/>
        <color theme="1"/>
        <rFont val="Calibri"/>
        <family val="2"/>
      </rPr>
      <t>weinig invloed</t>
    </r>
    <r>
      <rPr>
        <sz val="14"/>
        <color theme="1"/>
        <rFont val="Calibri"/>
        <family val="2"/>
      </rPr>
      <t xml:space="preserve"> op heeft. </t>
    </r>
  </si>
  <si>
    <r>
      <t xml:space="preserve">Wat hebben we </t>
    </r>
    <r>
      <rPr>
        <b/>
        <i/>
        <sz val="16"/>
        <color theme="1"/>
        <rFont val="Calibri (Hoofdtekst)"/>
      </rPr>
      <t xml:space="preserve">wel </t>
    </r>
    <r>
      <rPr>
        <b/>
        <sz val="16"/>
        <color theme="1"/>
        <rFont val="Calibri (Hoofdtekst)"/>
      </rPr>
      <t>meegenomen in de klimaatmonitor?</t>
    </r>
  </si>
  <si>
    <r>
      <t xml:space="preserve">Wat hebben we </t>
    </r>
    <r>
      <rPr>
        <b/>
        <i/>
        <sz val="16"/>
        <color theme="1"/>
        <rFont val="Calibri (Hoofdtekst)"/>
      </rPr>
      <t>niet</t>
    </r>
    <r>
      <rPr>
        <b/>
        <sz val="16"/>
        <color theme="1"/>
        <rFont val="Calibri (Hoofdtekst)"/>
      </rPr>
      <t xml:space="preserve"> meegenomen in de klimaatmonitor?</t>
    </r>
  </si>
  <si>
    <t>Tabblad 12</t>
  </si>
  <si>
    <t xml:space="preserve">Deze klimaatmonitor bestaat uit 12 tabbladen: </t>
  </si>
  <si>
    <t>Invloeddsfeer &amp; Scope</t>
  </si>
  <si>
    <t xml:space="preserve">Toelichting invloeddsfeer van de gemeente en meegenomen datapunten (scope). </t>
  </si>
  <si>
    <r>
      <t>*</t>
    </r>
    <r>
      <rPr>
        <sz val="12"/>
        <color rgb="FF101315"/>
        <rFont val="Calibri"/>
        <family val="2"/>
        <scheme val="minor"/>
      </rPr>
      <t>Bomen in gemeenten worden gekapt als onderdeel van onderhoud om de veiligheid te waarborgen, dode of zieke bomen te verwijderen (bijvoorbeeld door schimmels of plagen), en ruimte te maken voor nieuwe aanplant.</t>
    </r>
  </si>
  <si>
    <t>*De gevoelstemperatuur geeft aan hoe warm het aanvoelt, waarbij factoren zoals luchtvochtigheid, wind en straling van de omgeving een rol spelen. Als referentie voor een hete zomerdag is 1 juli 2015 in De Bilt gekozen, toen het 33,1˚C was. Deze grafiek geeft de gevoelstemperatuur in verschillende buurten op een vergelijkbaar warme dag weer. Momenteel is alleen data uit 2023 beschikbaar.</t>
  </si>
  <si>
    <t>https://klimaatmonitor.databank.nl/Jive?workspace_guid=a2f1df9d-0f8a-41cf-bfb3-2fd321bd099e</t>
  </si>
  <si>
    <t>donderdag 03 juli 2025</t>
  </si>
  <si>
    <t>* Aangepast in 2025</t>
  </si>
  <si>
    <t>https://klimaatmonitor.databank.nl/Jive?workspace_guid=f814741c-164e-4639-ba85-802214053278</t>
  </si>
  <si>
    <t>https://klimaatmonitor.databank.nl/Jive?workspace_guid=99729052-1bf4-46ec-8b41-71855eeb1305</t>
  </si>
  <si>
    <t>https://klimaatmonitor.databank.nl/Jive?workspace_guid=d9b9b4bd-90f0-4ca4-b7a5-c0c5b06f734b</t>
  </si>
  <si>
    <t>https://klimaatmonitor.databank.nl/Jive?workspace_guid=14b227a6-7243-47e4-94a2-e2fde71eaaaf</t>
  </si>
  <si>
    <t>* Data in 2025 niet meer beschikkbar dus data van 2024 gebruikt</t>
  </si>
  <si>
    <t>https://klimaatmonitor.databank.nl/Jive?workspace_guid=b4e1db78-ad6c-4af2-b00e-a377f59be716</t>
  </si>
  <si>
    <t>https://klimaatmonitor.databank.nl/Jive?workspace_guid=f89647e7-3b81-434d-b251-2ee9958cc828</t>
  </si>
  <si>
    <t>https://klimaatmonitor.databank.nl/Jive?workspace_guid=1ce6001a-e159-4e5e-8bd0-cde4762f3c72</t>
  </si>
  <si>
    <t>https://klimaatmonitor.databank.nl/Jive?workspace_guid=fadf2803-9c8d-42ab-82cc-365b06e0070e</t>
  </si>
  <si>
    <t>Voor 2023 is nog geen data beschikbaar!</t>
  </si>
  <si>
    <t>Woningen van het gas af</t>
  </si>
  <si>
    <t>Thema's - Beverwijk</t>
  </si>
  <si>
    <t>Totaal bekend energieverbruik (aardgas, elektriciteit, stadswarmte, verkeer/vervoer, overige warmte)</t>
  </si>
  <si>
    <t>Totaal bekende hernieuwbare energie</t>
  </si>
  <si>
    <t>Totaal bekende hernieuwbare elektriciteit</t>
  </si>
  <si>
    <t>Totaal bekende hernieuwbare warmte</t>
  </si>
  <si>
    <t>Totaal bekende hernieuwbare energie voor vervoer</t>
  </si>
  <si>
    <t>Totaal bekend energieverbruik (aardgas, elektriciteit, stadswarmte, verkeer en vervoer)</t>
  </si>
  <si>
    <t>verschil tussen 3 en 8</t>
  </si>
  <si>
    <t>Biogas totaal bekende hernieuwbare energie</t>
  </si>
  <si>
    <t>Afvalverbrandingsinstallatie hernieuwbare elektriciteit</t>
  </si>
  <si>
    <t>Biogas bekende hernieuwbare elektriciteit</t>
  </si>
  <si>
    <t>Biomassaverbranding met decentrale elektriciteitsopwekking hern. elektriciteit</t>
  </si>
  <si>
    <t>Waterkracht hern. elektriciteit genormaliseerd</t>
  </si>
  <si>
    <t>Wind op land hern. elektriciteit genormaliseerd</t>
  </si>
  <si>
    <t>Zonnestroom</t>
  </si>
  <si>
    <t>Aardwarmte (diepe bodemenergie)</t>
  </si>
  <si>
    <t>Afvalverbrandingsinstallatie hernieuwbare warmte</t>
  </si>
  <si>
    <t>Biogas bekende hernieuwbare warmte</t>
  </si>
  <si>
    <t>Biomassaketels bedrijven hern. warmte</t>
  </si>
  <si>
    <t>Biomassaverbranding met decentrale elektriciteitsopwekking hern. warmte</t>
  </si>
  <si>
    <t>Houtkachels woningen hern. warmte</t>
  </si>
  <si>
    <t>Houtskool hern. warmte</t>
  </si>
  <si>
    <t>Ondiepe bodemenergie hern. energie (WKO/WP)</t>
  </si>
  <si>
    <t>Vloeibare biobrandstoffenverbruik totaal (excl. biokerosine)</t>
  </si>
  <si>
    <t>Vloeibare biobrandstoffenverbruik wegverkeer</t>
  </si>
  <si>
    <t>Vloeibare biobrandstoffenverbruik mobiele werktuigen</t>
  </si>
  <si>
    <t>Vloeibare biobrandstoffenverbruik railverkeer</t>
  </si>
  <si>
    <t>Vloeibare biobrandstoffenverbruik binnenlandse scheepvaart</t>
  </si>
  <si>
    <t>Biogas hernieuwbare energie in verkeer en vervoer</t>
  </si>
  <si>
    <t>- Niet van toepassing</t>
  </si>
  <si>
    <t>CBS - Statistiek biogas</t>
  </si>
  <si>
    <t>Werkgroep Afvalregistratie, onderdeel afvalverbranding en CBS</t>
  </si>
  <si>
    <t>Verdeling provinciaal en regionaal totaal windenergie o.b.v. verdeelsleutel per gemeente</t>
  </si>
  <si>
    <t>woensdag 9 juli 2025</t>
  </si>
  <si>
    <t>Energieverbruik uitgesplitst</t>
  </si>
  <si>
    <t>https://klimaatmonitor.databank.nl/Jive?workspace_guid=49be9a11-85a8-4ad5-a4f5-00dfcde3c395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</si>
</sst>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74">
    <font>
      <sz val="12"/>
      <color theme="1"/>
      <name val="Calibri"/>
      <family val="2"/>
      <scheme val="minor"/>
    </font>
    <font>
      <b/>
      <sz val="12"/>
      <color theme="1"/>
      <name val="Calibri"/>
      <family val="2"/>
      <scheme val="minor"/>
    </font>
    <font>
      <b/>
      <sz val="8"/>
      <color theme="1"/>
      <name val="Calibri (Hoofdtekst)"/>
    </font>
    <font>
      <b/>
      <sz val="10"/>
      <name val="Arial"/>
      <family val="2"/>
    </font>
    <font>
      <sz val="11"/>
      <color rgb="FF000000"/>
      <name val="Aptos Narrow"/>
      <family val="2"/>
    </font>
    <font>
      <sz val="12"/>
      <color rgb="FFFF0000"/>
      <name val="Calibri"/>
      <family val="2"/>
      <scheme val="minor"/>
    </font>
    <font>
      <sz val="12"/>
      <color theme="3"/>
      <name val="Calibri"/>
      <family val="2"/>
      <scheme val="minor"/>
    </font>
    <font>
      <b/>
      <sz val="12"/>
      <color theme="1"/>
      <name val="Calibri (Hoofdtekst)"/>
    </font>
    <font>
      <b/>
      <sz val="16"/>
      <color theme="1"/>
      <name val="Calibri (Hoofdtekst)"/>
    </font>
    <font>
      <b/>
      <sz val="14"/>
      <color theme="1"/>
      <name val="Calibri"/>
      <family val="2"/>
      <scheme val="minor"/>
    </font>
    <font>
      <u/>
      <sz val="12"/>
      <color theme="10"/>
      <name val="Calibri"/>
      <family val="2"/>
      <scheme val="minor"/>
    </font>
    <font>
      <sz val="12"/>
      <color theme="1"/>
      <name val="Calibri"/>
      <family val="2"/>
      <scheme val="minor"/>
    </font>
    <font>
      <b/>
      <sz val="16"/>
      <color theme="1"/>
      <name val="Calibri"/>
      <family val="2"/>
      <scheme val="minor"/>
    </font>
    <font>
      <b/>
      <sz val="12"/>
      <color rgb="FF00395B"/>
      <name val="Calibri"/>
      <family val="2"/>
      <scheme val="minor"/>
    </font>
    <font>
      <b/>
      <sz val="8"/>
      <color rgb="FF00395B"/>
      <name val="Calibri"/>
      <family val="2"/>
      <scheme val="minor"/>
    </font>
    <font>
      <sz val="8"/>
      <name val="Calibri"/>
      <family val="2"/>
      <scheme val="minor"/>
    </font>
    <font>
      <b/>
      <sz val="18"/>
      <color theme="1"/>
      <name val="Calibri"/>
      <family val="2"/>
      <scheme val="minor"/>
    </font>
    <font>
      <b/>
      <sz val="12"/>
      <color rgb="FFFF0000"/>
      <name val="Calibri"/>
      <family val="2"/>
      <scheme val="minor"/>
    </font>
    <font>
      <b/>
      <sz val="18"/>
      <name val="Arial"/>
      <family val="2"/>
    </font>
    <font>
      <b/>
      <sz val="11"/>
      <color theme="1"/>
      <name val="Calibri (Hoofdtekst)"/>
    </font>
    <font>
      <sz val="10"/>
      <color rgb="FFA0A0A0"/>
      <name val="Arial"/>
      <family val="2"/>
    </font>
    <font>
      <i/>
      <sz val="12"/>
      <color theme="1"/>
      <name val="Calibri"/>
      <family val="2"/>
      <scheme val="minor"/>
    </font>
    <font>
      <sz val="12"/>
      <color theme="4" tint="0.79998168889431442"/>
      <name val="Calibri"/>
      <family val="2"/>
      <scheme val="minor"/>
    </font>
    <font>
      <sz val="12"/>
      <color theme="1"/>
      <name val="Aptos"/>
      <family val="2"/>
    </font>
    <font>
      <b/>
      <sz val="22"/>
      <color theme="4" tint="0.79998168889431442"/>
      <name val="Aptos"/>
      <family val="2"/>
    </font>
    <font>
      <b/>
      <sz val="26"/>
      <color theme="3"/>
      <name val="Aptos"/>
      <family val="2"/>
    </font>
    <font>
      <sz val="16"/>
      <color theme="1"/>
      <name val="Aptos"/>
      <family val="2"/>
    </font>
    <font>
      <b/>
      <sz val="12"/>
      <color theme="1"/>
      <name val="Aptos"/>
      <family val="2"/>
    </font>
    <font>
      <b/>
      <sz val="16"/>
      <color theme="1"/>
      <name val="Aptos"/>
      <family val="2"/>
    </font>
    <font>
      <b/>
      <sz val="26"/>
      <color theme="1"/>
      <name val="Aptos"/>
      <family val="2"/>
    </font>
    <font>
      <b/>
      <sz val="12"/>
      <name val="Calibri"/>
      <family val="2"/>
    </font>
    <font>
      <sz val="12"/>
      <color rgb="FF101315"/>
      <name val="Calibri"/>
      <family val="2"/>
      <scheme val="minor"/>
    </font>
    <font>
      <b/>
      <sz val="12"/>
      <color rgb="FF101315"/>
      <name val="Calibri"/>
      <family val="2"/>
      <scheme val="minor"/>
    </font>
    <font>
      <sz val="12"/>
      <color rgb="FF000000"/>
      <name val="-webkit-standard"/>
    </font>
    <font>
      <b/>
      <sz val="14"/>
      <color theme="1"/>
      <name val="Aptos"/>
      <family val="2"/>
    </font>
    <font>
      <b/>
      <sz val="16"/>
      <color theme="0"/>
      <name val="Aptos"/>
      <family val="2"/>
    </font>
    <font>
      <sz val="12"/>
      <name val="Calibri"/>
      <family val="2"/>
      <scheme val="minor"/>
    </font>
    <font>
      <b/>
      <sz val="12"/>
      <name val="Calibri"/>
      <family val="2"/>
      <scheme val="minor"/>
    </font>
    <font>
      <i/>
      <sz val="12"/>
      <name val="Calibri"/>
      <family val="2"/>
      <scheme val="minor"/>
    </font>
    <font>
      <b/>
      <sz val="26"/>
      <color theme="0"/>
      <name val="Aptos"/>
      <family val="2"/>
    </font>
    <font>
      <b/>
      <sz val="24"/>
      <color theme="0"/>
      <name val="Aptos"/>
      <family val="2"/>
    </font>
    <font>
      <b/>
      <sz val="12"/>
      <color rgb="FFFFFFFF"/>
      <name val="Calibri"/>
      <family val="2"/>
      <scheme val="minor"/>
    </font>
    <font>
      <sz val="12"/>
      <color theme="5"/>
      <name val="Calibri"/>
      <family val="2"/>
      <scheme val="minor"/>
    </font>
    <font>
      <b/>
      <sz val="12"/>
      <color theme="0"/>
      <name val="Calibri (Hoofdtekst)"/>
    </font>
    <font>
      <sz val="11"/>
      <color rgb="FF101315"/>
      <name val="Calibri"/>
      <family val="2"/>
      <scheme val="minor"/>
    </font>
    <font>
      <b/>
      <sz val="11"/>
      <color rgb="FFFFFFFF"/>
      <name val="Calibri"/>
      <family val="2"/>
      <scheme val="minor"/>
    </font>
    <font>
      <b/>
      <sz val="14"/>
      <color rgb="FFFFFFFF"/>
      <name val="Calibri"/>
      <family val="2"/>
      <scheme val="minor"/>
    </font>
    <font>
      <b/>
      <sz val="12"/>
      <color rgb="FF7030A0"/>
      <name val="Calibri (Hoofdtekst)"/>
    </font>
    <font>
      <b/>
      <sz val="12"/>
      <color rgb="FFFF0000"/>
      <name val="Calibri (Hoofdtekst)"/>
    </font>
    <font>
      <b/>
      <sz val="20"/>
      <color theme="0"/>
      <name val="Calibri"/>
      <family val="2"/>
      <scheme val="minor"/>
    </font>
    <font>
      <sz val="12"/>
      <color rgb="FF7030A0"/>
      <name val="Calibri"/>
      <family val="2"/>
      <scheme val="minor"/>
    </font>
    <font>
      <sz val="14"/>
      <color theme="1"/>
      <name val="Calibri"/>
      <family val="2"/>
      <scheme val="minor"/>
    </font>
    <font>
      <sz val="12"/>
      <color theme="4"/>
      <name val="Calibri (Hoofdtekst)"/>
    </font>
    <font>
      <b/>
      <sz val="14"/>
      <color theme="0"/>
      <name val="Calibri"/>
      <family val="2"/>
      <scheme val="minor"/>
    </font>
    <font>
      <sz val="12"/>
      <color theme="4"/>
      <name val="Calibri"/>
      <family val="2"/>
      <scheme val="minor"/>
    </font>
    <font>
      <vertAlign val="subscript"/>
      <sz val="12"/>
      <color rgb="FF101315"/>
      <name val="Calibri (Hoofdtekst)"/>
    </font>
    <font>
      <vertAlign val="subscript"/>
      <sz val="12"/>
      <color theme="1"/>
      <name val="Calibri (Hoofdtekst)"/>
    </font>
    <font>
      <sz val="12"/>
      <color theme="3"/>
      <name val="Calibri (Hoofdtekst)"/>
    </font>
    <font>
      <b/>
      <sz val="12"/>
      <color theme="4" tint="-0.249977111117893"/>
      <name val="Calibri (Hoofdtekst)"/>
    </font>
    <font>
      <sz val="12"/>
      <color theme="1"/>
      <name val="Calibri"/>
      <family val="2"/>
    </font>
    <font>
      <i/>
      <sz val="12"/>
      <color rgb="FF101315"/>
      <name val="Calibri"/>
      <family val="2"/>
      <scheme val="minor"/>
    </font>
    <font>
      <b/>
      <i/>
      <sz val="16"/>
      <color theme="1"/>
      <name val="Calibri (Hoofdtekst)"/>
    </font>
    <font>
      <vertAlign val="subscript"/>
      <sz val="14"/>
      <color theme="1"/>
      <name val="Calibri (Hoofdtekst)"/>
    </font>
    <font>
      <sz val="14"/>
      <color rgb="FF000000"/>
      <name val="Calibri"/>
      <family val="2"/>
    </font>
    <font>
      <b/>
      <sz val="14"/>
      <color rgb="FF000000"/>
      <name val="Calibri"/>
      <family val="2"/>
    </font>
    <font>
      <sz val="14"/>
      <color theme="1"/>
      <name val="Calibri"/>
      <family val="2"/>
    </font>
    <font>
      <b/>
      <sz val="14"/>
      <color theme="1"/>
      <name val="Calibri"/>
      <family val="2"/>
    </font>
    <font>
      <sz val="12"/>
      <color rgb="FFC00000"/>
      <name val="Calibri"/>
      <family val="2"/>
      <scheme val="minor"/>
    </font>
    <font>
      <sz val="12"/>
      <color theme="3" tint="0.89999084444715716"/>
      <name val="Aptos"/>
      <family val="2"/>
    </font>
    <font>
      <sz val="10"/>
      <color theme="1"/>
      <name val="Arial"/>
      <family val="2"/>
    </font>
    <font>
      <b/>
      <sz val="12"/>
      <color theme="4"/>
      <name val="Calibri"/>
      <family val="2"/>
      <scheme val="minor"/>
    </font>
    <font>
      <b/>
      <sz val="10"/>
      <color theme="3" tint="0.499984740745262"/>
      <name val="Arial"/>
      <family val="2"/>
    </font>
    <font>
      <b/>
      <sz val="10"/>
      <color theme="5" tint="-0.249977111117893"/>
      <name val="Arial"/>
      <family val="2"/>
    </font>
    <font>
      <b/>
      <sz val="10"/>
      <color rgb="FF7030A0"/>
      <name val="Arial"/>
      <family val="2"/>
    </font>
  </fonts>
  <fills count="46">
    <fill>
      <patternFill patternType="none"/>
    </fill>
    <fill>
      <patternFill patternType="gray125"/>
    </fill>
    <fill>
      <patternFill patternType="solid">
        <fgColor theme="6" tint="0.39997558519241921"/>
        <bgColor indexed="64"/>
      </patternFill>
    </fill>
    <fill>
      <patternFill patternType="solid">
        <fgColor rgb="FFDCDCDC"/>
      </patternFill>
    </fill>
    <fill>
      <patternFill patternType="solid">
        <fgColor rgb="FFDCDCDC"/>
        <bgColor rgb="FF000000"/>
      </patternFill>
    </fill>
    <fill>
      <patternFill patternType="solid">
        <fgColor theme="5"/>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rgb="FF000000"/>
      </patternFill>
    </fill>
    <fill>
      <patternFill patternType="solid">
        <fgColor theme="4" tint="0.39997558519241921"/>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theme="1" tint="0.89999084444715716"/>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rgb="FFC00000"/>
        <bgColor indexed="64"/>
      </patternFill>
    </fill>
    <fill>
      <patternFill patternType="solid">
        <fgColor theme="3" tint="0.499984740745262"/>
        <bgColor indexed="64"/>
      </patternFill>
    </fill>
    <fill>
      <patternFill patternType="solid">
        <fgColor theme="3" tint="0.499984740745262"/>
        <bgColor rgb="FF000000"/>
      </patternFill>
    </fill>
    <fill>
      <patternFill patternType="solid">
        <fgColor theme="3" tint="0.89999084444715716"/>
        <bgColor indexed="64"/>
      </patternFill>
    </fill>
    <fill>
      <patternFill patternType="solid">
        <fgColor rgb="FFFFFF00"/>
        <bgColor indexed="64"/>
      </patternFill>
    </fill>
    <fill>
      <patternFill patternType="solid">
        <fgColor rgb="FFE6E6E6"/>
        <bgColor rgb="FFE6E6E6"/>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3"/>
        <bgColor indexed="64"/>
      </patternFill>
    </fill>
    <fill>
      <patternFill patternType="solid">
        <fgColor rgb="FF798B99"/>
        <bgColor indexed="64"/>
      </patternFill>
    </fill>
    <fill>
      <patternFill patternType="solid">
        <fgColor rgb="FFE3E9EB"/>
        <bgColor indexed="64"/>
      </patternFill>
    </fill>
    <fill>
      <patternFill patternType="solid">
        <fgColor theme="5" tint="0.79998168889431442"/>
        <bgColor rgb="FF000000"/>
      </patternFill>
    </fill>
    <fill>
      <patternFill patternType="solid">
        <fgColor rgb="FFBFD6F7"/>
        <bgColor rgb="FF000000"/>
      </patternFill>
    </fill>
    <fill>
      <patternFill patternType="solid">
        <fgColor theme="5" tint="0.79998168889431442"/>
        <bgColor indexed="64"/>
      </patternFill>
    </fill>
    <fill>
      <patternFill patternType="solid">
        <fgColor rgb="FF12418A"/>
        <bgColor rgb="FF000000"/>
      </patternFill>
    </fill>
    <fill>
      <patternFill patternType="solid">
        <fgColor theme="5"/>
        <bgColor rgb="FF000000"/>
      </patternFill>
    </fill>
    <fill>
      <patternFill patternType="solid">
        <fgColor theme="5" tint="0.59999389629810485"/>
        <bgColor indexed="64"/>
      </patternFill>
    </fill>
    <fill>
      <patternFill patternType="solid">
        <fgColor rgb="FFDCDCDC"/>
        <bgColor indexed="64"/>
      </patternFill>
    </fill>
    <fill>
      <patternFill patternType="solid">
        <fgColor rgb="FFE4E9EC"/>
        <bgColor indexed="64"/>
      </patternFill>
    </fill>
    <fill>
      <patternFill patternType="solid">
        <fgColor rgb="FFE5E9ED"/>
        <bgColor indexed="64"/>
      </patternFill>
    </fill>
    <fill>
      <patternFill patternType="solid">
        <fgColor theme="8" tint="0.59999389629810485"/>
        <bgColor indexed="64"/>
      </patternFill>
    </fill>
    <fill>
      <patternFill patternType="solid">
        <fgColor rgb="FFE4E8EB"/>
        <bgColor indexed="64"/>
      </patternFill>
    </fill>
    <fill>
      <patternFill patternType="solid">
        <fgColor rgb="FFE5E8EC"/>
        <bgColor indexed="64"/>
      </patternFill>
    </fill>
    <fill>
      <patternFill patternType="solid">
        <fgColor rgb="FFBFD6F7"/>
        <bgColor indexed="64"/>
      </patternFill>
    </fill>
    <fill>
      <patternFill patternType="solid">
        <fgColor rgb="FFFFE9B8"/>
        <bgColor indexed="64"/>
      </patternFill>
    </fill>
    <fill>
      <patternFill patternType="solid">
        <fgColor theme="6" tint="0.79998168889431442"/>
        <bgColor indexed="64"/>
      </patternFill>
    </fill>
  </fills>
  <borders count="67">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theme="3"/>
      </left>
      <right style="thin">
        <color theme="3"/>
      </right>
      <top style="thin">
        <color theme="3"/>
      </top>
      <bottom style="thin">
        <color theme="3"/>
      </bottom>
      <diagonal/>
    </border>
    <border>
      <left/>
      <right/>
      <top style="thin">
        <color auto="1"/>
      </top>
      <bottom style="thin">
        <color auto="1"/>
      </bottom>
      <diagonal/>
    </border>
    <border>
      <left style="thin">
        <color theme="3"/>
      </left>
      <right style="thin">
        <color theme="3"/>
      </right>
      <top style="thin">
        <color theme="3"/>
      </top>
      <bottom style="double">
        <color theme="3"/>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bottom style="medium">
        <color rgb="FF000000"/>
      </bottom>
      <diagonal/>
    </border>
    <border>
      <left style="medium">
        <color theme="4"/>
      </left>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5"/>
      </left>
      <right style="thin">
        <color theme="5"/>
      </right>
      <top style="thin">
        <color theme="5"/>
      </top>
      <bottom style="thin">
        <color theme="5"/>
      </bottom>
      <diagonal/>
    </border>
    <border>
      <left/>
      <right/>
      <top/>
      <bottom style="thin">
        <color rgb="FF12418A"/>
      </bottom>
      <diagonal/>
    </border>
    <border>
      <left style="thin">
        <color rgb="FF12418A"/>
      </left>
      <right style="thin">
        <color rgb="FF12418A"/>
      </right>
      <top/>
      <bottom style="thin">
        <color rgb="FF12418A"/>
      </bottom>
      <diagonal/>
    </border>
    <border>
      <left/>
      <right style="thin">
        <color rgb="FF12418A"/>
      </right>
      <top/>
      <bottom/>
      <diagonal/>
    </border>
    <border>
      <left/>
      <right style="thin">
        <color rgb="FF12418A"/>
      </right>
      <top/>
      <bottom style="thin">
        <color rgb="FF12418A"/>
      </bottom>
      <diagonal/>
    </border>
    <border>
      <left/>
      <right style="thin">
        <color rgb="FF12418A"/>
      </right>
      <top style="thin">
        <color rgb="FF12418A"/>
      </top>
      <bottom style="thin">
        <color rgb="FF12418A"/>
      </bottom>
      <diagonal/>
    </border>
    <border>
      <left/>
      <right/>
      <top style="thin">
        <color rgb="FF12418A"/>
      </top>
      <bottom style="thin">
        <color rgb="FF12418A"/>
      </bottom>
      <diagonal/>
    </border>
    <border>
      <left style="thin">
        <color rgb="FF12418A"/>
      </left>
      <right/>
      <top style="thin">
        <color rgb="FF12418A"/>
      </top>
      <bottom style="thin">
        <color rgb="FF12418A"/>
      </bottom>
      <diagonal/>
    </border>
    <border>
      <left/>
      <right style="thin">
        <color theme="5"/>
      </right>
      <top/>
      <bottom style="thin">
        <color theme="5"/>
      </bottom>
      <diagonal/>
    </border>
    <border>
      <left/>
      <right/>
      <top/>
      <bottom style="thin">
        <color theme="5"/>
      </bottom>
      <diagonal/>
    </border>
    <border>
      <left style="thin">
        <color theme="5"/>
      </left>
      <right/>
      <top/>
      <bottom style="thin">
        <color theme="5"/>
      </bottom>
      <diagonal/>
    </border>
    <border>
      <left/>
      <right style="thin">
        <color theme="5"/>
      </right>
      <top/>
      <bottom/>
      <diagonal/>
    </border>
    <border>
      <left style="thin">
        <color theme="5"/>
      </left>
      <right/>
      <top/>
      <bottom/>
      <diagonal/>
    </border>
    <border>
      <left/>
      <right style="thin">
        <color theme="5"/>
      </right>
      <top style="thin">
        <color theme="5"/>
      </top>
      <bottom/>
      <diagonal/>
    </border>
    <border>
      <left/>
      <right/>
      <top style="thin">
        <color theme="5"/>
      </top>
      <bottom/>
      <diagonal/>
    </border>
    <border>
      <left style="thin">
        <color theme="5"/>
      </left>
      <right/>
      <top style="thin">
        <color theme="5"/>
      </top>
      <bottom/>
      <diagonal/>
    </border>
    <border>
      <left/>
      <right style="thin">
        <color rgb="FF12418A"/>
      </right>
      <top style="thin">
        <color rgb="FF12418A"/>
      </top>
      <bottom/>
      <diagonal/>
    </border>
    <border>
      <left/>
      <right/>
      <top style="thin">
        <color rgb="FF12418A"/>
      </top>
      <bottom/>
      <diagonal/>
    </border>
    <border>
      <left style="thin">
        <color rgb="FF12418A"/>
      </left>
      <right/>
      <top style="thin">
        <color rgb="FF12418A"/>
      </top>
      <bottom/>
      <diagonal/>
    </border>
    <border>
      <left style="thin">
        <color auto="1"/>
      </left>
      <right/>
      <top/>
      <bottom/>
      <diagonal/>
    </border>
    <border>
      <left/>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medium">
        <color rgb="FF000000"/>
      </top>
      <bottom style="thin">
        <color theme="1"/>
      </bottom>
      <diagonal/>
    </border>
    <border>
      <left style="thin">
        <color theme="1"/>
      </left>
      <right/>
      <top style="medium">
        <color rgb="FF000000"/>
      </top>
      <bottom style="thin">
        <color theme="1"/>
      </bottom>
      <diagonal/>
    </border>
    <border>
      <left/>
      <right style="thin">
        <color theme="1"/>
      </right>
      <top style="medium">
        <color rgb="FF000000"/>
      </top>
      <bottom style="thin">
        <color theme="1"/>
      </bottom>
      <diagonal/>
    </border>
    <border>
      <left style="thin">
        <color theme="1"/>
      </left>
      <right/>
      <top/>
      <bottom/>
      <diagonal/>
    </border>
    <border>
      <left/>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style="thin">
        <color indexed="64"/>
      </left>
      <right/>
      <top style="thin">
        <color theme="5"/>
      </top>
      <bottom/>
      <diagonal/>
    </border>
    <border>
      <left/>
      <right style="thin">
        <color indexed="64"/>
      </right>
      <top style="thin">
        <color theme="5"/>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thin">
        <color theme="4" tint="0.79998168889431442"/>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s>
  <cellStyleXfs count="5">
    <xf numFmtId="0" fontId="0" fillId="0" borderId="0"/>
    <xf numFmtId="0" fontId="10" fillId="0" borderId="0" applyNumberForma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30" fillId="24" borderId="12">
      <alignment horizontal="left"/>
    </xf>
  </cellStyleXfs>
  <cellXfs count="267">
    <xf numFmtId="0" fontId="0" fillId="0" borderId="0" xfId="0"/>
    <xf numFmtId="0" fontId="0" fillId="2" borderId="0" xfId="0" applyFill="1"/>
    <xf numFmtId="0" fontId="1" fillId="2" borderId="0" xfId="0" applyFont="1" applyFill="1"/>
    <xf numFmtId="0" fontId="3" fillId="3" borderId="1" xfId="0" applyFont="1" applyFill="1" applyBorder="1"/>
    <xf numFmtId="0" fontId="0" fillId="0" borderId="2" xfId="0" applyBorder="1"/>
    <xf numFmtId="165" fontId="0" fillId="0" borderId="2" xfId="0" applyNumberFormat="1" applyBorder="1"/>
    <xf numFmtId="0" fontId="3" fillId="4" borderId="1" xfId="0" applyFont="1" applyFill="1" applyBorder="1"/>
    <xf numFmtId="0" fontId="4" fillId="0" borderId="0" xfId="0" applyFont="1"/>
    <xf numFmtId="0" fontId="3" fillId="4" borderId="3" xfId="0" applyFont="1" applyFill="1" applyBorder="1"/>
    <xf numFmtId="0" fontId="4" fillId="0" borderId="3" xfId="0" applyFont="1" applyBorder="1"/>
    <xf numFmtId="0" fontId="4" fillId="0" borderId="2" xfId="0" applyFont="1" applyBorder="1"/>
    <xf numFmtId="0" fontId="4" fillId="0" borderId="1" xfId="0" applyFont="1" applyBorder="1"/>
    <xf numFmtId="0" fontId="4" fillId="0" borderId="4" xfId="0" applyFont="1" applyBorder="1"/>
    <xf numFmtId="0" fontId="6" fillId="0" borderId="0" xfId="0" applyFont="1"/>
    <xf numFmtId="0" fontId="5" fillId="0" borderId="2" xfId="0" applyFont="1" applyBorder="1"/>
    <xf numFmtId="0" fontId="5" fillId="0" borderId="0" xfId="0" applyFont="1"/>
    <xf numFmtId="0" fontId="10" fillId="0" borderId="0" xfId="1"/>
    <xf numFmtId="166" fontId="0" fillId="0" borderId="0" xfId="2" applyNumberFormat="1" applyFont="1"/>
    <xf numFmtId="0" fontId="0" fillId="0" borderId="0" xfId="0" applyAlignment="1">
      <alignment wrapText="1"/>
    </xf>
    <xf numFmtId="0" fontId="1" fillId="0" borderId="0" xfId="0" applyFont="1"/>
    <xf numFmtId="0" fontId="0" fillId="5" borderId="0" xfId="0" applyFill="1"/>
    <xf numFmtId="2" fontId="5" fillId="0" borderId="2" xfId="0" applyNumberFormat="1" applyFont="1" applyBorder="1"/>
    <xf numFmtId="166" fontId="0" fillId="0" borderId="0" xfId="0" applyNumberFormat="1"/>
    <xf numFmtId="0" fontId="1" fillId="9" borderId="0" xfId="0" applyFont="1" applyFill="1"/>
    <xf numFmtId="0" fontId="1" fillId="9" borderId="2" xfId="0" applyFont="1" applyFill="1" applyBorder="1"/>
    <xf numFmtId="0" fontId="0" fillId="10" borderId="2" xfId="0" applyFill="1" applyBorder="1"/>
    <xf numFmtId="9" fontId="0" fillId="10" borderId="2" xfId="3" applyFont="1" applyFill="1" applyBorder="1"/>
    <xf numFmtId="0" fontId="1" fillId="7" borderId="0" xfId="0" applyFont="1" applyFill="1"/>
    <xf numFmtId="0" fontId="0" fillId="7" borderId="0" xfId="0" applyFill="1"/>
    <xf numFmtId="0" fontId="4" fillId="7" borderId="0" xfId="0" applyFont="1" applyFill="1"/>
    <xf numFmtId="0" fontId="13" fillId="11" borderId="0" xfId="0" applyFont="1" applyFill="1"/>
    <xf numFmtId="0" fontId="0" fillId="9" borderId="0" xfId="0" applyFill="1"/>
    <xf numFmtId="0" fontId="1" fillId="9" borderId="5" xfId="0" applyFont="1" applyFill="1" applyBorder="1"/>
    <xf numFmtId="0" fontId="0" fillId="12" borderId="0" xfId="0" applyFill="1"/>
    <xf numFmtId="0" fontId="1" fillId="12" borderId="0" xfId="0" applyFont="1" applyFill="1"/>
    <xf numFmtId="0" fontId="0" fillId="9" borderId="2" xfId="0" applyFill="1" applyBorder="1"/>
    <xf numFmtId="0" fontId="1" fillId="12" borderId="2" xfId="0" applyFont="1" applyFill="1" applyBorder="1"/>
    <xf numFmtId="0" fontId="17" fillId="0" borderId="0" xfId="0" applyFont="1"/>
    <xf numFmtId="0" fontId="1" fillId="14" borderId="2" xfId="0" applyFont="1" applyFill="1" applyBorder="1"/>
    <xf numFmtId="9" fontId="0" fillId="0" borderId="0" xfId="3" applyFont="1"/>
    <xf numFmtId="9" fontId="0" fillId="15" borderId="2" xfId="3" applyFont="1" applyFill="1" applyBorder="1"/>
    <xf numFmtId="0" fontId="20" fillId="0" borderId="2" xfId="0" applyFont="1" applyBorder="1"/>
    <xf numFmtId="166" fontId="1" fillId="6" borderId="0" xfId="2" applyNumberFormat="1" applyFont="1" applyFill="1" applyAlignment="1">
      <alignment horizontal="center"/>
    </xf>
    <xf numFmtId="9" fontId="1" fillId="6" borderId="0" xfId="3" applyFont="1" applyFill="1"/>
    <xf numFmtId="0" fontId="3" fillId="3" borderId="8" xfId="0" applyFont="1" applyFill="1" applyBorder="1"/>
    <xf numFmtId="0" fontId="1" fillId="16" borderId="5" xfId="0" applyFont="1" applyFill="1" applyBorder="1"/>
    <xf numFmtId="0" fontId="0" fillId="7" borderId="7" xfId="0" applyFill="1" applyBorder="1"/>
    <xf numFmtId="166" fontId="0" fillId="8" borderId="7" xfId="2" applyNumberFormat="1" applyFont="1" applyFill="1" applyBorder="1"/>
    <xf numFmtId="1" fontId="0" fillId="17" borderId="7" xfId="0" applyNumberFormat="1" applyFill="1" applyBorder="1"/>
    <xf numFmtId="0" fontId="1" fillId="18" borderId="0" xfId="0" applyFont="1" applyFill="1"/>
    <xf numFmtId="0" fontId="21" fillId="0" borderId="0" xfId="0" applyFont="1"/>
    <xf numFmtId="0" fontId="1" fillId="7" borderId="5" xfId="0" applyFont="1" applyFill="1" applyBorder="1"/>
    <xf numFmtId="166" fontId="1" fillId="8" borderId="7" xfId="2" applyNumberFormat="1" applyFont="1" applyFill="1" applyBorder="1"/>
    <xf numFmtId="0" fontId="21" fillId="7" borderId="7" xfId="0" applyFont="1" applyFill="1" applyBorder="1"/>
    <xf numFmtId="0" fontId="21" fillId="8" borderId="7" xfId="0" applyFont="1" applyFill="1" applyBorder="1"/>
    <xf numFmtId="9" fontId="21" fillId="8" borderId="7" xfId="3" applyFont="1" applyFill="1" applyBorder="1"/>
    <xf numFmtId="0" fontId="1" fillId="7" borderId="10" xfId="0" applyFont="1" applyFill="1" applyBorder="1"/>
    <xf numFmtId="166" fontId="1" fillId="8" borderId="10" xfId="2" applyNumberFormat="1" applyFont="1" applyFill="1" applyBorder="1"/>
    <xf numFmtId="0" fontId="0" fillId="7" borderId="9" xfId="0" applyFill="1" applyBorder="1"/>
    <xf numFmtId="166" fontId="0" fillId="8" borderId="9" xfId="2" applyNumberFormat="1" applyFont="1" applyFill="1" applyBorder="1"/>
    <xf numFmtId="9" fontId="1" fillId="8" borderId="7" xfId="3" applyFont="1" applyFill="1" applyBorder="1"/>
    <xf numFmtId="0" fontId="0" fillId="17" borderId="9" xfId="0" applyFill="1" applyBorder="1"/>
    <xf numFmtId="166" fontId="0" fillId="17" borderId="9" xfId="2" applyNumberFormat="1" applyFont="1" applyFill="1" applyBorder="1"/>
    <xf numFmtId="0" fontId="21" fillId="7" borderId="10" xfId="0" applyFont="1" applyFill="1" applyBorder="1"/>
    <xf numFmtId="0" fontId="21" fillId="8" borderId="10" xfId="0" applyFont="1" applyFill="1" applyBorder="1"/>
    <xf numFmtId="9" fontId="21" fillId="8" borderId="10" xfId="3" applyFont="1" applyFill="1" applyBorder="1"/>
    <xf numFmtId="0" fontId="1" fillId="7" borderId="9" xfId="0" applyFont="1" applyFill="1" applyBorder="1"/>
    <xf numFmtId="166" fontId="1" fillId="8" borderId="9" xfId="2" applyNumberFormat="1" applyFont="1" applyFill="1" applyBorder="1"/>
    <xf numFmtId="0" fontId="1" fillId="8" borderId="10" xfId="0" applyFont="1" applyFill="1" applyBorder="1"/>
    <xf numFmtId="0" fontId="1" fillId="19" borderId="0" xfId="0" applyFont="1" applyFill="1"/>
    <xf numFmtId="0" fontId="0" fillId="6" borderId="7" xfId="0" applyFill="1" applyBorder="1"/>
    <xf numFmtId="0" fontId="0" fillId="6" borderId="11" xfId="0" applyFill="1" applyBorder="1"/>
    <xf numFmtId="0" fontId="0" fillId="0" borderId="7" xfId="0" applyBorder="1"/>
    <xf numFmtId="0" fontId="18" fillId="0" borderId="0" xfId="0" applyFont="1" applyAlignment="1">
      <alignment horizontal="center"/>
    </xf>
    <xf numFmtId="0" fontId="1" fillId="20" borderId="2" xfId="0" applyFont="1" applyFill="1" applyBorder="1"/>
    <xf numFmtId="166" fontId="0" fillId="22" borderId="2" xfId="2" applyNumberFormat="1" applyFont="1" applyFill="1" applyBorder="1"/>
    <xf numFmtId="0" fontId="23" fillId="0" borderId="0" xfId="0" applyFont="1"/>
    <xf numFmtId="0" fontId="27" fillId="0" borderId="0" xfId="0" applyFont="1"/>
    <xf numFmtId="0" fontId="12" fillId="0" borderId="0" xfId="0" applyFont="1"/>
    <xf numFmtId="0" fontId="30" fillId="24" borderId="12" xfId="4">
      <alignment horizontal="left"/>
    </xf>
    <xf numFmtId="0" fontId="31" fillId="0" borderId="0" xfId="0" applyFont="1"/>
    <xf numFmtId="0" fontId="32" fillId="16" borderId="0" xfId="0" applyFont="1" applyFill="1"/>
    <xf numFmtId="0" fontId="31" fillId="16" borderId="0" xfId="0" applyFont="1" applyFill="1"/>
    <xf numFmtId="0" fontId="0" fillId="0" borderId="1" xfId="0" applyBorder="1"/>
    <xf numFmtId="0" fontId="0" fillId="6" borderId="2" xfId="0" applyFill="1" applyBorder="1"/>
    <xf numFmtId="0" fontId="29" fillId="0" borderId="0" xfId="0" applyFont="1"/>
    <xf numFmtId="0" fontId="33" fillId="0" borderId="0" xfId="0" applyFont="1"/>
    <xf numFmtId="0" fontId="24" fillId="0" borderId="0" xfId="0" applyFont="1"/>
    <xf numFmtId="0" fontId="25" fillId="0" borderId="0" xfId="0" applyFont="1"/>
    <xf numFmtId="0" fontId="35" fillId="0" borderId="0" xfId="0" applyFont="1"/>
    <xf numFmtId="0" fontId="28" fillId="0" borderId="0" xfId="0" applyFont="1"/>
    <xf numFmtId="0" fontId="23" fillId="25" borderId="0" xfId="0" applyFont="1" applyFill="1"/>
    <xf numFmtId="166" fontId="0" fillId="22" borderId="15" xfId="2" applyNumberFormat="1" applyFont="1" applyFill="1" applyBorder="1"/>
    <xf numFmtId="0" fontId="0" fillId="13" borderId="2" xfId="0" applyFill="1" applyBorder="1"/>
    <xf numFmtId="0" fontId="36" fillId="12" borderId="2" xfId="0" applyFont="1" applyFill="1" applyBorder="1"/>
    <xf numFmtId="0" fontId="37" fillId="12" borderId="2" xfId="0" applyFont="1" applyFill="1" applyBorder="1"/>
    <xf numFmtId="0" fontId="37" fillId="0" borderId="0" xfId="0" applyFont="1"/>
    <xf numFmtId="0" fontId="36" fillId="12" borderId="6" xfId="0" applyFont="1" applyFill="1" applyBorder="1"/>
    <xf numFmtId="0" fontId="0" fillId="15" borderId="2" xfId="0" applyFill="1" applyBorder="1"/>
    <xf numFmtId="0" fontId="36" fillId="14" borderId="2" xfId="0" applyFont="1" applyFill="1" applyBorder="1"/>
    <xf numFmtId="0" fontId="36" fillId="14" borderId="1" xfId="0" applyFont="1" applyFill="1" applyBorder="1"/>
    <xf numFmtId="0" fontId="36" fillId="21" borderId="3" xfId="0" applyFont="1" applyFill="1" applyBorder="1"/>
    <xf numFmtId="0" fontId="36" fillId="21" borderId="14" xfId="0" applyFont="1" applyFill="1" applyBorder="1"/>
    <xf numFmtId="0" fontId="37" fillId="21" borderId="3" xfId="0" applyFont="1" applyFill="1" applyBorder="1"/>
    <xf numFmtId="166" fontId="1" fillId="22" borderId="4" xfId="2" applyNumberFormat="1" applyFont="1" applyFill="1" applyBorder="1"/>
    <xf numFmtId="0" fontId="38" fillId="21" borderId="2" xfId="0" applyFont="1" applyFill="1" applyBorder="1"/>
    <xf numFmtId="9" fontId="21" fillId="22" borderId="2" xfId="3" applyFont="1" applyFill="1" applyBorder="1"/>
    <xf numFmtId="0" fontId="23" fillId="26" borderId="0" xfId="0" applyFont="1" applyFill="1"/>
    <xf numFmtId="9" fontId="0" fillId="13" borderId="2" xfId="3" applyFont="1" applyFill="1" applyBorder="1"/>
    <xf numFmtId="0" fontId="3" fillId="29" borderId="1" xfId="0" applyFont="1" applyFill="1" applyBorder="1"/>
    <xf numFmtId="0" fontId="0" fillId="30" borderId="2" xfId="0" applyFill="1" applyBorder="1"/>
    <xf numFmtId="9" fontId="0" fillId="30" borderId="2" xfId="3" applyFont="1" applyFill="1" applyBorder="1"/>
    <xf numFmtId="0" fontId="0" fillId="25" borderId="0" xfId="0" applyFill="1"/>
    <xf numFmtId="0" fontId="31" fillId="31" borderId="19" xfId="0" applyFont="1" applyFill="1" applyBorder="1"/>
    <xf numFmtId="0" fontId="31" fillId="32" borderId="20" xfId="0" applyFont="1" applyFill="1" applyBorder="1"/>
    <xf numFmtId="0" fontId="10" fillId="32" borderId="21" xfId="1" applyFill="1" applyBorder="1"/>
    <xf numFmtId="0" fontId="0" fillId="33" borderId="19" xfId="0" applyFill="1" applyBorder="1"/>
    <xf numFmtId="0" fontId="31" fillId="32" borderId="22" xfId="0" applyFont="1" applyFill="1" applyBorder="1"/>
    <xf numFmtId="0" fontId="31" fillId="32" borderId="23" xfId="0" applyFont="1" applyFill="1" applyBorder="1"/>
    <xf numFmtId="0" fontId="31" fillId="32" borderId="21" xfId="0" applyFont="1" applyFill="1" applyBorder="1"/>
    <xf numFmtId="0" fontId="31" fillId="34" borderId="24" xfId="0" applyFont="1" applyFill="1" applyBorder="1"/>
    <xf numFmtId="0" fontId="41" fillId="34" borderId="25" xfId="0" applyFont="1" applyFill="1" applyBorder="1"/>
    <xf numFmtId="0" fontId="41" fillId="34" borderId="26" xfId="0" applyFont="1" applyFill="1" applyBorder="1"/>
    <xf numFmtId="0" fontId="42" fillId="35" borderId="35" xfId="0" applyFont="1" applyFill="1" applyBorder="1"/>
    <xf numFmtId="0" fontId="42" fillId="35" borderId="36" xfId="0" applyFont="1" applyFill="1" applyBorder="1"/>
    <xf numFmtId="0" fontId="43" fillId="35" borderId="37" xfId="0" applyFont="1" applyFill="1" applyBorder="1"/>
    <xf numFmtId="0" fontId="44" fillId="25" borderId="0" xfId="0" applyFont="1" applyFill="1"/>
    <xf numFmtId="0" fontId="45" fillId="35" borderId="0" xfId="0" applyFont="1" applyFill="1"/>
    <xf numFmtId="0" fontId="46" fillId="35" borderId="0" xfId="0" applyFont="1" applyFill="1"/>
    <xf numFmtId="0" fontId="1" fillId="25" borderId="0" xfId="0" applyFont="1" applyFill="1"/>
    <xf numFmtId="0" fontId="0" fillId="25" borderId="27" xfId="0" applyFill="1" applyBorder="1"/>
    <xf numFmtId="0" fontId="0" fillId="25" borderId="28" xfId="0" applyFill="1" applyBorder="1"/>
    <xf numFmtId="0" fontId="0" fillId="25" borderId="29" xfId="0" applyFill="1" applyBorder="1"/>
    <xf numFmtId="0" fontId="0" fillId="25" borderId="30" xfId="0" applyFill="1" applyBorder="1"/>
    <xf numFmtId="0" fontId="0" fillId="25" borderId="31" xfId="0" applyFill="1" applyBorder="1"/>
    <xf numFmtId="0" fontId="0" fillId="25" borderId="32" xfId="0" applyFill="1" applyBorder="1"/>
    <xf numFmtId="0" fontId="0" fillId="25" borderId="33" xfId="0" applyFill="1" applyBorder="1"/>
    <xf numFmtId="0" fontId="0" fillId="25" borderId="34" xfId="0" applyFill="1" applyBorder="1"/>
    <xf numFmtId="0" fontId="9" fillId="25" borderId="0" xfId="0" applyFont="1" applyFill="1"/>
    <xf numFmtId="0" fontId="0" fillId="27" borderId="29" xfId="0" applyFill="1" applyBorder="1"/>
    <xf numFmtId="0" fontId="0" fillId="26" borderId="31" xfId="0" applyFill="1" applyBorder="1"/>
    <xf numFmtId="0" fontId="0" fillId="36" borderId="31" xfId="0" applyFill="1" applyBorder="1"/>
    <xf numFmtId="0" fontId="0" fillId="12" borderId="31" xfId="0" applyFill="1" applyBorder="1"/>
    <xf numFmtId="0" fontId="0" fillId="27" borderId="34" xfId="0" applyFill="1" applyBorder="1"/>
    <xf numFmtId="0" fontId="49" fillId="5" borderId="0" xfId="0" applyFont="1" applyFill="1"/>
    <xf numFmtId="0" fontId="18" fillId="20" borderId="0" xfId="0" applyFont="1" applyFill="1" applyAlignment="1">
      <alignment horizontal="center"/>
    </xf>
    <xf numFmtId="0" fontId="50" fillId="0" borderId="2" xfId="0" applyFont="1" applyBorder="1"/>
    <xf numFmtId="0" fontId="0" fillId="0" borderId="39" xfId="0" applyBorder="1"/>
    <xf numFmtId="0" fontId="1" fillId="37" borderId="40" xfId="0" applyFont="1" applyFill="1" applyBorder="1"/>
    <xf numFmtId="0" fontId="1" fillId="37" borderId="41" xfId="0" applyFont="1" applyFill="1" applyBorder="1"/>
    <xf numFmtId="0" fontId="0" fillId="0" borderId="40" xfId="0" applyBorder="1"/>
    <xf numFmtId="0" fontId="1" fillId="14" borderId="5" xfId="0" applyFont="1" applyFill="1" applyBorder="1"/>
    <xf numFmtId="0" fontId="36" fillId="14" borderId="40" xfId="0" applyFont="1" applyFill="1" applyBorder="1"/>
    <xf numFmtId="0" fontId="0" fillId="38" borderId="40" xfId="0" applyFill="1" applyBorder="1"/>
    <xf numFmtId="0" fontId="0" fillId="29" borderId="40" xfId="0" applyFill="1" applyBorder="1"/>
    <xf numFmtId="0" fontId="0" fillId="38" borderId="40" xfId="3" applyNumberFormat="1" applyFont="1" applyFill="1" applyBorder="1"/>
    <xf numFmtId="0" fontId="0" fillId="39" borderId="40" xfId="0" applyFill="1" applyBorder="1"/>
    <xf numFmtId="9" fontId="0" fillId="39" borderId="40" xfId="3" applyFont="1" applyFill="1" applyBorder="1"/>
    <xf numFmtId="0" fontId="16" fillId="12" borderId="0" xfId="0" applyFont="1" applyFill="1" applyAlignment="1">
      <alignment horizontal="center"/>
    </xf>
    <xf numFmtId="0" fontId="18" fillId="14" borderId="0" xfId="0" applyFont="1" applyFill="1" applyAlignment="1">
      <alignment horizontal="center"/>
    </xf>
    <xf numFmtId="0" fontId="22" fillId="0" borderId="0" xfId="0" applyFont="1"/>
    <xf numFmtId="0" fontId="54" fillId="25" borderId="0" xfId="0" applyFont="1" applyFill="1"/>
    <xf numFmtId="0" fontId="1" fillId="26" borderId="2" xfId="0" applyFont="1" applyFill="1" applyBorder="1"/>
    <xf numFmtId="0" fontId="0" fillId="26" borderId="2" xfId="0" applyFill="1" applyBorder="1"/>
    <xf numFmtId="0" fontId="0" fillId="8" borderId="2" xfId="0" applyFill="1" applyBorder="1"/>
    <xf numFmtId="0" fontId="0" fillId="8" borderId="40" xfId="0" applyFill="1" applyBorder="1"/>
    <xf numFmtId="0" fontId="1" fillId="0" borderId="42" xfId="0" applyFont="1" applyBorder="1"/>
    <xf numFmtId="0" fontId="1" fillId="0" borderId="43" xfId="0" applyFont="1" applyBorder="1"/>
    <xf numFmtId="0" fontId="1" fillId="0" borderId="44" xfId="0" applyFont="1" applyBorder="1"/>
    <xf numFmtId="2" fontId="0" fillId="0" borderId="0" xfId="0" applyNumberFormat="1"/>
    <xf numFmtId="0" fontId="0" fillId="40" borderId="31" xfId="0" applyFill="1" applyBorder="1"/>
    <xf numFmtId="0" fontId="0" fillId="0" borderId="45" xfId="0" applyBorder="1"/>
    <xf numFmtId="0" fontId="0" fillId="25" borderId="46" xfId="0" applyFill="1" applyBorder="1"/>
    <xf numFmtId="0" fontId="0" fillId="25" borderId="39" xfId="0" applyFill="1" applyBorder="1"/>
    <xf numFmtId="0" fontId="0" fillId="25" borderId="47" xfId="0" applyFill="1" applyBorder="1"/>
    <xf numFmtId="0" fontId="0" fillId="25" borderId="48" xfId="0" applyFill="1" applyBorder="1"/>
    <xf numFmtId="0" fontId="54" fillId="25" borderId="48" xfId="0" applyFont="1" applyFill="1" applyBorder="1"/>
    <xf numFmtId="0" fontId="0" fillId="25" borderId="49" xfId="0" applyFill="1" applyBorder="1"/>
    <xf numFmtId="0" fontId="50" fillId="0" borderId="0" xfId="0" applyFont="1"/>
    <xf numFmtId="0" fontId="0" fillId="0" borderId="50" xfId="0" applyBorder="1"/>
    <xf numFmtId="0" fontId="0" fillId="0" borderId="51" xfId="0" applyBorder="1"/>
    <xf numFmtId="0" fontId="40" fillId="28" borderId="0" xfId="0" applyFont="1" applyFill="1" applyAlignment="1">
      <alignment vertical="center"/>
    </xf>
    <xf numFmtId="0" fontId="40" fillId="25" borderId="0" xfId="0" applyFont="1" applyFill="1" applyAlignment="1">
      <alignment vertical="center"/>
    </xf>
    <xf numFmtId="0" fontId="23" fillId="41" borderId="0" xfId="0" applyFont="1" applyFill="1"/>
    <xf numFmtId="0" fontId="35" fillId="26" borderId="0" xfId="0" applyFont="1" applyFill="1"/>
    <xf numFmtId="0" fontId="26" fillId="26" borderId="0" xfId="0" applyFont="1" applyFill="1"/>
    <xf numFmtId="0" fontId="29" fillId="25" borderId="0" xfId="0" applyFont="1" applyFill="1"/>
    <xf numFmtId="0" fontId="34" fillId="25" borderId="0" xfId="0" applyFont="1" applyFill="1" applyAlignment="1">
      <alignment horizontal="center"/>
    </xf>
    <xf numFmtId="0" fontId="23" fillId="42" borderId="0" xfId="0" applyFont="1" applyFill="1"/>
    <xf numFmtId="0" fontId="31" fillId="32" borderId="2" xfId="0" applyFont="1" applyFill="1" applyBorder="1"/>
    <xf numFmtId="0" fontId="67" fillId="25" borderId="0" xfId="0" applyFont="1" applyFill="1"/>
    <xf numFmtId="0" fontId="0" fillId="27" borderId="31" xfId="0" applyFill="1" applyBorder="1"/>
    <xf numFmtId="0" fontId="23" fillId="25" borderId="57" xfId="0" applyFont="1" applyFill="1" applyBorder="1"/>
    <xf numFmtId="15" fontId="0" fillId="0" borderId="0" xfId="0" applyNumberFormat="1"/>
    <xf numFmtId="0" fontId="0" fillId="41" borderId="0" xfId="0" applyFill="1"/>
    <xf numFmtId="0" fontId="59" fillId="41" borderId="0" xfId="0" applyFont="1" applyFill="1"/>
    <xf numFmtId="0" fontId="0" fillId="25" borderId="62" xfId="0" applyFill="1" applyBorder="1"/>
    <xf numFmtId="0" fontId="0" fillId="25" borderId="63" xfId="0" applyFill="1" applyBorder="1"/>
    <xf numFmtId="0" fontId="0" fillId="41" borderId="62" xfId="0" applyFill="1" applyBorder="1"/>
    <xf numFmtId="0" fontId="0" fillId="41" borderId="63" xfId="0" applyFill="1" applyBorder="1"/>
    <xf numFmtId="0" fontId="51" fillId="41" borderId="62" xfId="0" applyFont="1" applyFill="1" applyBorder="1"/>
    <xf numFmtId="0" fontId="63" fillId="41" borderId="62" xfId="0" applyFont="1" applyFill="1" applyBorder="1"/>
    <xf numFmtId="0" fontId="65" fillId="41" borderId="64" xfId="0" applyFont="1" applyFill="1" applyBorder="1"/>
    <xf numFmtId="0" fontId="59" fillId="41" borderId="65" xfId="0" applyFont="1" applyFill="1" applyBorder="1"/>
    <xf numFmtId="0" fontId="0" fillId="41" borderId="65" xfId="0" applyFill="1" applyBorder="1"/>
    <xf numFmtId="0" fontId="0" fillId="41" borderId="66" xfId="0" applyFill="1" applyBorder="1"/>
    <xf numFmtId="0" fontId="0" fillId="25" borderId="64" xfId="0" applyFill="1" applyBorder="1"/>
    <xf numFmtId="0" fontId="0" fillId="25" borderId="65" xfId="0" applyFill="1" applyBorder="1"/>
    <xf numFmtId="0" fontId="0" fillId="25" borderId="66" xfId="0" applyFill="1" applyBorder="1"/>
    <xf numFmtId="0" fontId="68" fillId="44" borderId="0" xfId="0" applyFont="1" applyFill="1"/>
    <xf numFmtId="0" fontId="68" fillId="44" borderId="58" xfId="0" applyFont="1" applyFill="1" applyBorder="1"/>
    <xf numFmtId="0" fontId="68" fillId="25" borderId="0" xfId="0" applyFont="1" applyFill="1"/>
    <xf numFmtId="0" fontId="23" fillId="44" borderId="0" xfId="0" applyFont="1" applyFill="1"/>
    <xf numFmtId="0" fontId="24" fillId="44" borderId="0" xfId="0" applyFont="1" applyFill="1"/>
    <xf numFmtId="0" fontId="25" fillId="44" borderId="0" xfId="0" applyFont="1" applyFill="1"/>
    <xf numFmtId="0" fontId="23" fillId="26" borderId="0" xfId="0" applyFont="1" applyFill="1" applyAlignment="1">
      <alignment vertical="top" wrapText="1"/>
    </xf>
    <xf numFmtId="0" fontId="0" fillId="8" borderId="0" xfId="0" applyFill="1"/>
    <xf numFmtId="0" fontId="6" fillId="13" borderId="2" xfId="0" applyFont="1" applyFill="1" applyBorder="1"/>
    <xf numFmtId="0" fontId="0" fillId="13" borderId="0" xfId="0" applyFill="1"/>
    <xf numFmtId="0" fontId="54" fillId="0" borderId="2" xfId="0" applyFont="1" applyBorder="1"/>
    <xf numFmtId="0" fontId="69" fillId="0" borderId="2" xfId="0" applyFont="1" applyBorder="1"/>
    <xf numFmtId="0" fontId="0" fillId="23" borderId="0" xfId="0" applyFill="1"/>
    <xf numFmtId="0" fontId="3" fillId="4" borderId="54" xfId="0" applyFont="1" applyFill="1" applyBorder="1"/>
    <xf numFmtId="0" fontId="1" fillId="26" borderId="40" xfId="0" applyFont="1" applyFill="1" applyBorder="1"/>
    <xf numFmtId="0" fontId="1" fillId="26" borderId="0" xfId="0" applyFont="1" applyFill="1"/>
    <xf numFmtId="166" fontId="70" fillId="0" borderId="0" xfId="0" applyNumberFormat="1" applyFont="1"/>
    <xf numFmtId="0" fontId="3" fillId="13" borderId="1" xfId="0" applyFont="1" applyFill="1" applyBorder="1"/>
    <xf numFmtId="0" fontId="0" fillId="45" borderId="2" xfId="0" applyFill="1" applyBorder="1"/>
    <xf numFmtId="0" fontId="71" fillId="3" borderId="1" xfId="0" applyFont="1" applyFill="1" applyBorder="1"/>
    <xf numFmtId="0" fontId="72" fillId="3" borderId="1" xfId="0" applyFont="1" applyFill="1" applyBorder="1"/>
    <xf numFmtId="0" fontId="73" fillId="3" borderId="1" xfId="0" applyFont="1" applyFill="1" applyBorder="1"/>
    <xf numFmtId="0" fontId="67" fillId="0" borderId="2" xfId="0" applyFont="1" applyBorder="1"/>
    <xf numFmtId="9" fontId="0" fillId="13" borderId="2" xfId="0" applyNumberFormat="1" applyFill="1" applyBorder="1"/>
    <xf numFmtId="164" fontId="0" fillId="0" borderId="0" xfId="2" applyFont="1"/>
    <xf numFmtId="0" fontId="31" fillId="31" borderId="52" xfId="0" applyFont="1" applyFill="1" applyBorder="1" applyAlignment="1">
      <alignment horizontal="left" vertical="top" wrapText="1"/>
    </xf>
    <xf numFmtId="0" fontId="31" fillId="31" borderId="33" xfId="0" applyFont="1" applyFill="1" applyBorder="1" applyAlignment="1">
      <alignment horizontal="left" vertical="top" wrapText="1"/>
    </xf>
    <xf numFmtId="0" fontId="31" fillId="31" borderId="53" xfId="0" applyFont="1" applyFill="1" applyBorder="1" applyAlignment="1">
      <alignment horizontal="left" vertical="top" wrapText="1"/>
    </xf>
    <xf numFmtId="0" fontId="31" fillId="31" borderId="38" xfId="0" applyFont="1" applyFill="1" applyBorder="1" applyAlignment="1">
      <alignment horizontal="left" vertical="top" wrapText="1"/>
    </xf>
    <xf numFmtId="0" fontId="31" fillId="31" borderId="0" xfId="0" applyFont="1" applyFill="1" applyAlignment="1">
      <alignment horizontal="left" vertical="top" wrapText="1"/>
    </xf>
    <xf numFmtId="0" fontId="31" fillId="31" borderId="54" xfId="0" applyFont="1" applyFill="1" applyBorder="1" applyAlignment="1">
      <alignment horizontal="left" vertical="top" wrapText="1"/>
    </xf>
    <xf numFmtId="0" fontId="31" fillId="31" borderId="55" xfId="0" applyFont="1" applyFill="1" applyBorder="1" applyAlignment="1">
      <alignment horizontal="left" vertical="top" wrapText="1"/>
    </xf>
    <xf numFmtId="0" fontId="31" fillId="31" borderId="56" xfId="0" applyFont="1" applyFill="1" applyBorder="1" applyAlignment="1">
      <alignment horizontal="left" vertical="top" wrapText="1"/>
    </xf>
    <xf numFmtId="0" fontId="31" fillId="31" borderId="3" xfId="0" applyFont="1" applyFill="1" applyBorder="1" applyAlignment="1">
      <alignment horizontal="left" vertical="top" wrapText="1"/>
    </xf>
    <xf numFmtId="0" fontId="8" fillId="43" borderId="59" xfId="0" applyFont="1" applyFill="1" applyBorder="1" applyAlignment="1">
      <alignment horizontal="center"/>
    </xf>
    <xf numFmtId="0" fontId="8" fillId="43" borderId="60" xfId="0" applyFont="1" applyFill="1" applyBorder="1" applyAlignment="1">
      <alignment horizontal="center"/>
    </xf>
    <xf numFmtId="0" fontId="8" fillId="43" borderId="61" xfId="0" applyFont="1" applyFill="1" applyBorder="1" applyAlignment="1">
      <alignment horizontal="center"/>
    </xf>
    <xf numFmtId="0" fontId="8" fillId="43" borderId="62" xfId="0" applyFont="1" applyFill="1" applyBorder="1" applyAlignment="1">
      <alignment horizontal="center"/>
    </xf>
    <xf numFmtId="0" fontId="8" fillId="43" borderId="0" xfId="0" applyFont="1" applyFill="1" applyAlignment="1">
      <alignment horizontal="center"/>
    </xf>
    <xf numFmtId="0" fontId="8" fillId="43" borderId="63" xfId="0" applyFont="1" applyFill="1" applyBorder="1" applyAlignment="1">
      <alignment horizontal="center"/>
    </xf>
    <xf numFmtId="0" fontId="39" fillId="18" borderId="13" xfId="0" applyFont="1" applyFill="1" applyBorder="1" applyAlignment="1" applyProtection="1">
      <alignment horizontal="center" vertical="center"/>
      <protection locked="0"/>
    </xf>
    <xf numFmtId="0" fontId="39" fillId="18" borderId="0" xfId="0" applyFont="1" applyFill="1" applyAlignment="1" applyProtection="1">
      <alignment horizontal="center" vertical="center"/>
      <protection locked="0"/>
    </xf>
    <xf numFmtId="0" fontId="34" fillId="26" borderId="16" xfId="0" applyFont="1" applyFill="1" applyBorder="1" applyAlignment="1" applyProtection="1">
      <alignment horizontal="center"/>
      <protection locked="0"/>
    </xf>
    <xf numFmtId="0" fontId="34" fillId="26" borderId="17" xfId="0" applyFont="1" applyFill="1" applyBorder="1" applyAlignment="1" applyProtection="1">
      <alignment horizontal="center"/>
      <protection locked="0"/>
    </xf>
    <xf numFmtId="0" fontId="34" fillId="26" borderId="18" xfId="0" applyFont="1" applyFill="1" applyBorder="1" applyAlignment="1" applyProtection="1">
      <alignment horizontal="center"/>
      <protection locked="0"/>
    </xf>
    <xf numFmtId="0" fontId="26" fillId="0" borderId="0" xfId="0" applyFont="1" applyAlignment="1">
      <alignment horizontal="center"/>
    </xf>
    <xf numFmtId="0" fontId="60" fillId="26" borderId="0" xfId="0" applyFont="1" applyFill="1" applyAlignment="1">
      <alignment horizontal="center" wrapText="1"/>
    </xf>
    <xf numFmtId="0" fontId="23" fillId="26" borderId="0" xfId="0" applyFont="1" applyFill="1" applyAlignment="1">
      <alignment horizontal="center" vertical="top" wrapText="1"/>
    </xf>
    <xf numFmtId="0" fontId="16" fillId="7" borderId="0" xfId="0" applyFont="1" applyFill="1" applyAlignment="1">
      <alignment horizontal="center"/>
    </xf>
    <xf numFmtId="0" fontId="16" fillId="9" borderId="0" xfId="0" applyFont="1" applyFill="1" applyAlignment="1">
      <alignment horizontal="center"/>
    </xf>
    <xf numFmtId="0" fontId="12" fillId="26" borderId="0" xfId="0" applyFont="1" applyFill="1" applyAlignment="1">
      <alignment horizontal="left"/>
    </xf>
    <xf numFmtId="0" fontId="53" fillId="18" borderId="0" xfId="0" applyFont="1" applyFill="1" applyAlignment="1">
      <alignment horizontal="center"/>
    </xf>
    <xf numFmtId="0" fontId="7" fillId="7" borderId="0" xfId="0" applyFont="1" applyFill="1" applyAlignment="1">
      <alignment horizontal="center"/>
    </xf>
    <xf numFmtId="0" fontId="12" fillId="9" borderId="0" xfId="0" applyFont="1" applyFill="1" applyAlignment="1">
      <alignment horizontal="center"/>
    </xf>
    <xf numFmtId="0" fontId="9" fillId="12" borderId="0" xfId="0" applyFont="1" applyFill="1" applyAlignment="1">
      <alignment horizontal="center"/>
    </xf>
    <xf numFmtId="0" fontId="9" fillId="14" borderId="0" xfId="0" applyFont="1" applyFill="1" applyAlignment="1">
      <alignment horizontal="center"/>
    </xf>
    <xf numFmtId="0" fontId="9" fillId="2" borderId="0" xfId="0" applyFont="1" applyFill="1" applyAlignment="1">
      <alignment horizontal="center"/>
    </xf>
    <xf numFmtId="0" fontId="51" fillId="9" borderId="0" xfId="0" applyFont="1" applyFill="1" applyAlignment="1">
      <alignment horizontal="center"/>
    </xf>
  </cellXfs>
  <cellStyles count="5">
    <cellStyle name="Hyperlink" xfId="1" builtinId="8"/>
    <cellStyle name="Komma" xfId="2" builtinId="3"/>
    <cellStyle name="Procent" xfId="3" builtinId="5"/>
    <cellStyle name="Standaard" xfId="0" builtinId="0"/>
    <cellStyle name="STYLE0" xfId="4" xr:uid="{E9E5ECA5-43CB-1E46-8896-5D52A7B21104}"/>
  </cellStyles>
  <dxfs count="0"/>
  <tableStyles count="0" defaultTableStyle="TableStyleMedium2" defaultPivotStyle="PivotStyleLight16"/>
  <colors>
    <mruColors>
      <color rgb="FFFDBF16"/>
      <color rgb="FFFFE9B8"/>
      <color rgb="FFFFDF9A"/>
      <color rgb="FF0E2841"/>
      <color rgb="FFE4E8EB"/>
      <color rgb="FFBFD6F7"/>
      <color rgb="FF4F95DA"/>
      <color rgb="FFF7D3D3"/>
      <color rgb="FFE5E8EC"/>
      <color rgb="FFCFC8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8741189490261"/>
          <c:y val="4.6289323793149671E-2"/>
          <c:w val="0.75568976660570786"/>
          <c:h val="0.81059172710252447"/>
        </c:manualLayout>
      </c:layout>
      <c:areaChart>
        <c:grouping val="stacked"/>
        <c:varyColors val="0"/>
        <c:ser>
          <c:idx val="0"/>
          <c:order val="0"/>
          <c:tx>
            <c:v>Gebouwde Omgeving</c:v>
          </c:tx>
          <c:spPr>
            <a:solidFill>
              <a:schemeClr val="tx2">
                <a:lumMod val="75000"/>
                <a:lumOff val="25000"/>
              </a:schemeClr>
            </a:solidFill>
            <a:ln>
              <a:noFill/>
            </a:ln>
            <a:effectLst/>
          </c:spPr>
          <c:cat>
            <c:numRef>
              <c:f>[0]!Jaren_Brondata</c:f>
              <c:numCache>
                <c:formatCode>General</c:formatCode>
                <c:ptCount val="5"/>
                <c:pt idx="0">
                  <c:v>2019</c:v>
                </c:pt>
                <c:pt idx="1">
                  <c:v>2020</c:v>
                </c:pt>
                <c:pt idx="2">
                  <c:v>2021</c:v>
                </c:pt>
                <c:pt idx="3">
                  <c:v>2022</c:v>
                </c:pt>
                <c:pt idx="4">
                  <c:v>2023</c:v>
                </c:pt>
              </c:numCache>
            </c:numRef>
          </c:cat>
          <c:val>
            <c:numRef>
              <c:f>[0]!Gebouwde_Omgeving</c:f>
              <c:numCache>
                <c:formatCode>_(* #,##0_);_(* \(#,##0\);_(* "-"??_);_(@_)</c:formatCode>
                <c:ptCount val="5"/>
                <c:pt idx="0">
                  <c:v>101200</c:v>
                </c:pt>
                <c:pt idx="1">
                  <c:v>89100</c:v>
                </c:pt>
                <c:pt idx="2">
                  <c:v>89000</c:v>
                </c:pt>
                <c:pt idx="3">
                  <c:v>78400</c:v>
                </c:pt>
                <c:pt idx="4">
                  <c:v>66500</c:v>
                </c:pt>
              </c:numCache>
            </c:numRef>
          </c:val>
          <c:extLst>
            <c:ext xmlns:c16="http://schemas.microsoft.com/office/drawing/2014/chart" uri="{C3380CC4-5D6E-409C-BE32-E72D297353CC}">
              <c16:uniqueId val="{00000000-598A-F74E-9C97-062479FF6520}"/>
            </c:ext>
          </c:extLst>
        </c:ser>
        <c:ser>
          <c:idx val="1"/>
          <c:order val="1"/>
          <c:tx>
            <c:v>Verkeer en vervoer</c:v>
          </c:tx>
          <c:spPr>
            <a:solidFill>
              <a:schemeClr val="tx2">
                <a:lumMod val="50000"/>
                <a:lumOff val="50000"/>
              </a:schemeClr>
            </a:solidFill>
            <a:ln>
              <a:noFill/>
            </a:ln>
            <a:effectLst/>
          </c:spPr>
          <c:cat>
            <c:numRef>
              <c:f>[0]!Jaren_Brondata</c:f>
              <c:numCache>
                <c:formatCode>General</c:formatCode>
                <c:ptCount val="5"/>
                <c:pt idx="0">
                  <c:v>2019</c:v>
                </c:pt>
                <c:pt idx="1">
                  <c:v>2020</c:v>
                </c:pt>
                <c:pt idx="2">
                  <c:v>2021</c:v>
                </c:pt>
                <c:pt idx="3">
                  <c:v>2022</c:v>
                </c:pt>
                <c:pt idx="4">
                  <c:v>2023</c:v>
                </c:pt>
              </c:numCache>
            </c:numRef>
          </c:cat>
          <c:val>
            <c:numRef>
              <c:f>[0]!Verkeer_vervoer</c:f>
              <c:numCache>
                <c:formatCode>_(* #,##0_);_(* \(#,##0\);_(* "-"??_);_(@_)</c:formatCode>
                <c:ptCount val="5"/>
                <c:pt idx="0">
                  <c:v>51600</c:v>
                </c:pt>
                <c:pt idx="1">
                  <c:v>42900</c:v>
                </c:pt>
                <c:pt idx="2">
                  <c:v>43800</c:v>
                </c:pt>
                <c:pt idx="3">
                  <c:v>44900</c:v>
                </c:pt>
                <c:pt idx="4">
                  <c:v>45400</c:v>
                </c:pt>
              </c:numCache>
            </c:numRef>
          </c:val>
          <c:extLst>
            <c:ext xmlns:c16="http://schemas.microsoft.com/office/drawing/2014/chart" uri="{C3380CC4-5D6E-409C-BE32-E72D297353CC}">
              <c16:uniqueId val="{00000001-598A-F74E-9C97-062479FF6520}"/>
            </c:ext>
          </c:extLst>
        </c:ser>
        <c:ser>
          <c:idx val="2"/>
          <c:order val="2"/>
          <c:tx>
            <c:v>Industrie</c:v>
          </c:tx>
          <c:spPr>
            <a:solidFill>
              <a:schemeClr val="tx2">
                <a:lumMod val="25000"/>
                <a:lumOff val="75000"/>
              </a:schemeClr>
            </a:solidFill>
            <a:ln>
              <a:noFill/>
            </a:ln>
            <a:effectLst/>
          </c:spPr>
          <c:cat>
            <c:numRef>
              <c:f>[0]!Jaren_Brondata</c:f>
              <c:numCache>
                <c:formatCode>General</c:formatCode>
                <c:ptCount val="5"/>
                <c:pt idx="0">
                  <c:v>2019</c:v>
                </c:pt>
                <c:pt idx="1">
                  <c:v>2020</c:v>
                </c:pt>
                <c:pt idx="2">
                  <c:v>2021</c:v>
                </c:pt>
                <c:pt idx="3">
                  <c:v>2022</c:v>
                </c:pt>
                <c:pt idx="4">
                  <c:v>2023</c:v>
                </c:pt>
              </c:numCache>
            </c:numRef>
          </c:cat>
          <c:val>
            <c:numRef>
              <c:f>[0]!Industrie</c:f>
              <c:numCache>
                <c:formatCode>_(* #,##0_);_(* \(#,##0\);_(* "-"??_);_(@_)</c:formatCode>
                <c:ptCount val="5"/>
                <c:pt idx="0">
                  <c:v>38300.000000000015</c:v>
                </c:pt>
                <c:pt idx="1">
                  <c:v>35700.000000000015</c:v>
                </c:pt>
                <c:pt idx="2">
                  <c:v>37300.000000000015</c:v>
                </c:pt>
                <c:pt idx="3">
                  <c:v>36800.000000000015</c:v>
                </c:pt>
                <c:pt idx="4">
                  <c:v>33499.999999999985</c:v>
                </c:pt>
              </c:numCache>
            </c:numRef>
          </c:val>
          <c:extLst>
            <c:ext xmlns:c16="http://schemas.microsoft.com/office/drawing/2014/chart" uri="{C3380CC4-5D6E-409C-BE32-E72D297353CC}">
              <c16:uniqueId val="{00000002-598A-F74E-9C97-062479FF6520}"/>
            </c:ext>
          </c:extLst>
        </c:ser>
        <c:dLbls>
          <c:showLegendKey val="0"/>
          <c:showVal val="0"/>
          <c:showCatName val="0"/>
          <c:showSerName val="0"/>
          <c:showPercent val="0"/>
          <c:showBubbleSize val="0"/>
        </c:dLbls>
        <c:axId val="1282607071"/>
        <c:axId val="924506431"/>
      </c:areaChart>
      <c:catAx>
        <c:axId val="1282607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nl-NL"/>
          </a:p>
        </c:txPr>
        <c:crossAx val="924506431"/>
        <c:crosses val="autoZero"/>
        <c:auto val="1"/>
        <c:lblAlgn val="ctr"/>
        <c:lblOffset val="100"/>
        <c:noMultiLvlLbl val="0"/>
      </c:catAx>
      <c:valAx>
        <c:axId val="924506431"/>
        <c:scaling>
          <c:orientation val="minMax"/>
          <c:max val="200000"/>
        </c:scaling>
        <c:delete val="0"/>
        <c:axPos val="l"/>
        <c:majorGridlines>
          <c:spPr>
            <a:ln w="9525" cap="flat" cmpd="sng" algn="ctr">
              <a:solidFill>
                <a:schemeClr val="bg1"/>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nl-NL"/>
          </a:p>
        </c:txPr>
        <c:crossAx val="1282607071"/>
        <c:crosses val="autoZero"/>
        <c:crossBetween val="midCat"/>
        <c:majorUnit val="40000"/>
      </c:valAx>
      <c:spPr>
        <a:solidFill>
          <a:schemeClr val="tx1">
            <a:lumMod val="10000"/>
            <a:lumOff val="90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rnd" cmpd="sng" algn="ctr">
      <a:no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55062074058125"/>
          <c:y val="9.7671111502540792E-2"/>
          <c:w val="0.33496776479035845"/>
          <c:h val="0.63542848181363953"/>
        </c:manualLayout>
      </c:layout>
      <c:barChart>
        <c:barDir val="col"/>
        <c:grouping val="stacked"/>
        <c:varyColors val="0"/>
        <c:ser>
          <c:idx val="0"/>
          <c:order val="0"/>
          <c:spPr>
            <a:solidFill>
              <a:schemeClr val="accent2"/>
            </a:solidFill>
            <a:ln>
              <a:noFill/>
            </a:ln>
            <a:effectLst/>
          </c:spPr>
          <c:invertIfNegative val="0"/>
          <c:val>
            <c:numRef>
              <c:f>Grafieken!$C$24</c:f>
              <c:numCache>
                <c:formatCode>General</c:formatCode>
                <c:ptCount val="1"/>
                <c:pt idx="0">
                  <c:v>10.989010989010989</c:v>
                </c:pt>
              </c:numCache>
            </c:numRef>
          </c:val>
          <c:extLst>
            <c:ext xmlns:c16="http://schemas.microsoft.com/office/drawing/2014/chart" uri="{C3380CC4-5D6E-409C-BE32-E72D297353CC}">
              <c16:uniqueId val="{00000000-A20F-7F41-846F-DC3A69A2327B}"/>
            </c:ext>
          </c:extLst>
        </c:ser>
        <c:ser>
          <c:idx val="1"/>
          <c:order val="1"/>
          <c:spPr>
            <a:solidFill>
              <a:schemeClr val="bg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2784-1443-8B2E-3958141BD863}"/>
              </c:ext>
            </c:extLst>
          </c:dPt>
          <c:val>
            <c:numRef>
              <c:f>Grafieken!$C$25</c:f>
              <c:numCache>
                <c:formatCode>General</c:formatCode>
                <c:ptCount val="1"/>
                <c:pt idx="0">
                  <c:v>44.010989010989007</c:v>
                </c:pt>
              </c:numCache>
            </c:numRef>
          </c:val>
          <c:extLst>
            <c:ext xmlns:c16="http://schemas.microsoft.com/office/drawing/2014/chart" uri="{C3380CC4-5D6E-409C-BE32-E72D297353CC}">
              <c16:uniqueId val="{00000001-A20F-7F41-846F-DC3A69A2327B}"/>
            </c:ext>
          </c:extLst>
        </c:ser>
        <c:dLbls>
          <c:showLegendKey val="0"/>
          <c:showVal val="0"/>
          <c:showCatName val="0"/>
          <c:showSerName val="0"/>
          <c:showPercent val="0"/>
          <c:showBubbleSize val="0"/>
        </c:dLbls>
        <c:gapWidth val="149"/>
        <c:overlap val="100"/>
        <c:axId val="1620659151"/>
        <c:axId val="2007524431"/>
      </c:barChart>
      <c:catAx>
        <c:axId val="1620659151"/>
        <c:scaling>
          <c:orientation val="minMax"/>
        </c:scaling>
        <c:delete val="1"/>
        <c:axPos val="b"/>
        <c:majorTickMark val="none"/>
        <c:minorTickMark val="none"/>
        <c:tickLblPos val="nextTo"/>
        <c:crossAx val="2007524431"/>
        <c:crosses val="autoZero"/>
        <c:auto val="1"/>
        <c:lblAlgn val="ctr"/>
        <c:lblOffset val="100"/>
        <c:noMultiLvlLbl val="0"/>
      </c:catAx>
      <c:valAx>
        <c:axId val="2007524431"/>
        <c:scaling>
          <c:orientation val="minMax"/>
          <c:max val="55"/>
          <c:min val="5"/>
        </c:scaling>
        <c:delete val="0"/>
        <c:axPos val="l"/>
        <c:numFmt formatCode="General" sourceLinked="0"/>
        <c:majorTickMark val="out"/>
        <c:minorTickMark val="in"/>
        <c:tickLblPos val="nextTo"/>
        <c:spPr>
          <a:noFill/>
          <a:ln>
            <a:solidFill>
              <a:schemeClr val="dk1"/>
            </a:solid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nl-NL"/>
          </a:p>
        </c:txPr>
        <c:crossAx val="1620659151"/>
        <c:crosses val="autoZero"/>
        <c:crossBetween val="between"/>
        <c:majorUnit val="10"/>
        <c:min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1583673068057E-2"/>
          <c:y val="0"/>
          <c:w val="0.90902307561890838"/>
          <c:h val="0.97727338962831967"/>
        </c:manualLayout>
      </c:layout>
      <c:doughnutChart>
        <c:varyColors val="1"/>
        <c:ser>
          <c:idx val="0"/>
          <c:order val="0"/>
          <c:spPr>
            <a:effectLst>
              <a:softEdge rad="0"/>
            </a:effectLst>
          </c:spPr>
          <c:dPt>
            <c:idx val="0"/>
            <c:bubble3D val="0"/>
            <c:spPr>
              <a:solidFill>
                <a:srgbClr val="215F9B"/>
              </a:solidFill>
              <a:ln w="19050">
                <a:solidFill>
                  <a:schemeClr val="lt1"/>
                </a:solidFill>
              </a:ln>
              <a:effectLst>
                <a:softEdge rad="0"/>
              </a:effectLst>
            </c:spPr>
            <c:extLst>
              <c:ext xmlns:c16="http://schemas.microsoft.com/office/drawing/2014/chart" uri="{C3380CC4-5D6E-409C-BE32-E72D297353CC}">
                <c16:uniqueId val="{00000015-8E02-844D-928F-46CD893C9EA0}"/>
              </c:ext>
            </c:extLst>
          </c:dPt>
          <c:dPt>
            <c:idx val="1"/>
            <c:bubble3D val="0"/>
            <c:spPr>
              <a:solidFill>
                <a:schemeClr val="tx2">
                  <a:lumMod val="10000"/>
                  <a:lumOff val="90000"/>
                </a:schemeClr>
              </a:solidFill>
              <a:ln w="19050">
                <a:solidFill>
                  <a:schemeClr val="lt1"/>
                </a:solidFill>
              </a:ln>
              <a:effectLst>
                <a:softEdge rad="0"/>
              </a:effectLst>
            </c:spPr>
            <c:extLst>
              <c:ext xmlns:c16="http://schemas.microsoft.com/office/drawing/2014/chart" uri="{C3380CC4-5D6E-409C-BE32-E72D297353CC}">
                <c16:uniqueId val="{00000017-8E02-844D-928F-46CD893C9EA0}"/>
              </c:ext>
            </c:extLst>
          </c:dPt>
          <c:dPt>
            <c:idx val="2"/>
            <c:bubble3D val="0"/>
            <c:spPr>
              <a:solidFill>
                <a:schemeClr val="tx2">
                  <a:lumMod val="10000"/>
                  <a:lumOff val="90000"/>
                </a:schemeClr>
              </a:solidFill>
              <a:ln w="19050">
                <a:solidFill>
                  <a:schemeClr val="lt1"/>
                </a:solidFill>
              </a:ln>
              <a:effectLst>
                <a:softEdge rad="0"/>
              </a:effectLst>
            </c:spPr>
            <c:extLst>
              <c:ext xmlns:c16="http://schemas.microsoft.com/office/drawing/2014/chart" uri="{C3380CC4-5D6E-409C-BE32-E72D297353CC}">
                <c16:uniqueId val="{00000019-8E02-844D-928F-46CD893C9EA0}"/>
              </c:ext>
            </c:extLst>
          </c:dPt>
          <c:dLbls>
            <c:dLbl>
              <c:idx val="0"/>
              <c:tx>
                <c:rich>
                  <a:bodyPr wrap="square" lIns="38100" tIns="19050" rIns="38100" bIns="19050" anchor="ctr">
                    <a:spAutoFit/>
                  </a:bodyPr>
                  <a:lstStyle/>
                  <a:p>
                    <a:pPr>
                      <a:defRPr sz="1100" b="1"/>
                    </a:pPr>
                    <a:fld id="{8B3063CB-86C8-5E40-9156-9A862EED170B}" type="PERCENTAGE">
                      <a:rPr lang="en-US" sz="1100" b="1" baseline="0"/>
                      <a:pPr>
                        <a:defRPr sz="1100" b="1"/>
                      </a:pPr>
                      <a:t>[PERCENTAGE]</a:t>
                    </a:fld>
                    <a:endParaRPr lang="nl-NL"/>
                  </a:p>
                </c:rich>
              </c:tx>
              <c:spPr>
                <a:solidFill>
                  <a:srgbClr val="FFFFFF"/>
                </a:solidFill>
                <a:ln>
                  <a:solidFill>
                    <a:srgbClr val="101315">
                      <a:lumMod val="65000"/>
                      <a:lumOff val="35000"/>
                    </a:srgbClr>
                  </a:solidFill>
                </a:ln>
                <a:effectLst/>
              </c:sp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c15:spPr>
                  <c15:dlblFieldTable/>
                  <c15:showDataLabelsRange val="0"/>
                </c:ext>
                <c:ext xmlns:c16="http://schemas.microsoft.com/office/drawing/2014/chart" uri="{C3380CC4-5D6E-409C-BE32-E72D297353CC}">
                  <c16:uniqueId val="{00000015-8E02-844D-928F-46CD893C9EA0}"/>
                </c:ext>
              </c:extLst>
            </c:dLbl>
            <c:spPr>
              <a:noFill/>
              <a:ln>
                <a:noFill/>
              </a:ln>
              <a:effectLst/>
            </c:spPr>
            <c:txPr>
              <a:bodyPr wrap="square" lIns="38100" tIns="19050" rIns="38100" bIns="19050" anchor="ctr">
                <a:spAutoFit/>
              </a:bodyPr>
              <a:lstStyle/>
              <a:p>
                <a:pPr>
                  <a:defRPr sz="1100" b="1"/>
                </a:pPr>
                <a:endParaRPr lang="nl-NL"/>
              </a:p>
            </c:txPr>
            <c:showLegendKey val="0"/>
            <c:showVal val="0"/>
            <c:showCatName val="0"/>
            <c:showSerName val="0"/>
            <c:showPercent val="0"/>
            <c:showBubbleSize val="0"/>
            <c:extLst>
              <c:ext xmlns:c15="http://schemas.microsoft.com/office/drawing/2012/chart" uri="{CE6537A1-D6FC-4f65-9D91-7224C49458BB}"/>
            </c:extLst>
          </c:dLbls>
          <c:cat>
            <c:strRef>
              <c:f>Grafieken!$B$30:$B$32</c:f>
              <c:strCache>
                <c:ptCount val="3"/>
                <c:pt idx="0">
                  <c:v>Gebouwde omgeving</c:v>
                </c:pt>
                <c:pt idx="1">
                  <c:v>Verkeer en vervoer</c:v>
                </c:pt>
                <c:pt idx="2">
                  <c:v>Industrie, energie, afval en water</c:v>
                </c:pt>
              </c:strCache>
            </c:strRef>
          </c:cat>
          <c:val>
            <c:numRef>
              <c:f>Grafieken!$C$30:$C$32</c:f>
              <c:numCache>
                <c:formatCode>General</c:formatCode>
                <c:ptCount val="3"/>
                <c:pt idx="0">
                  <c:v>89000</c:v>
                </c:pt>
                <c:pt idx="1">
                  <c:v>43800</c:v>
                </c:pt>
                <c:pt idx="2">
                  <c:v>37300.000000000015</c:v>
                </c:pt>
              </c:numCache>
            </c:numRef>
          </c:val>
          <c:extLst>
            <c:ext xmlns:c16="http://schemas.microsoft.com/office/drawing/2014/chart" uri="{C3380CC4-5D6E-409C-BE32-E72D297353CC}">
              <c16:uniqueId val="{0000001A-8E02-844D-928F-46CD893C9EA0}"/>
            </c:ext>
          </c:extLst>
        </c:ser>
        <c:dLbls>
          <c:showLegendKey val="0"/>
          <c:showVal val="1"/>
          <c:showCatName val="0"/>
          <c:showSerName val="0"/>
          <c:showPercent val="0"/>
          <c:showBubbleSize val="0"/>
          <c:showLeaderLines val="1"/>
        </c:dLbls>
        <c:firstSliceAng val="0"/>
        <c:holeSize val="54"/>
      </c:doughnutChart>
      <c:spPr>
        <a:noFill/>
        <a:ln>
          <a:noFill/>
        </a:ln>
        <a:effectLst>
          <a:outerShdw dist="50800" dir="5400000" sx="1000" sy="1000" algn="ctr" rotWithShape="0">
            <a:srgbClr val="000000">
              <a:alpha val="43137"/>
            </a:srgbClr>
          </a:outerShdw>
        </a:effectLst>
      </c:spPr>
    </c:plotArea>
    <c:plotVisOnly val="1"/>
    <c:dispBlanksAs val="gap"/>
    <c:showDLblsOverMax val="0"/>
    <c:extLst/>
  </c:chart>
  <c:spPr>
    <a:noFill/>
    <a:ln>
      <a:noFill/>
    </a:ln>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37862768514857"/>
          <c:y val="7.5537789254600779E-2"/>
          <c:w val="0.74644656559689715"/>
          <c:h val="0.66836943149006178"/>
        </c:manualLayout>
      </c:layout>
      <c:barChart>
        <c:barDir val="col"/>
        <c:grouping val="stacked"/>
        <c:varyColors val="0"/>
        <c:ser>
          <c:idx val="2"/>
          <c:order val="0"/>
          <c:tx>
            <c:v>Elektrisch</c:v>
          </c:tx>
          <c:spPr>
            <a:solidFill>
              <a:schemeClr val="tx2">
                <a:lumMod val="50000"/>
                <a:lumOff val="50000"/>
              </a:schemeClr>
            </a:solidFill>
            <a:ln>
              <a:noFill/>
            </a:ln>
            <a:effectLst/>
          </c:spPr>
          <c:invertIfNegative val="0"/>
          <c:cat>
            <c:numRef>
              <c:f>[0]!Jaren_Brondata</c:f>
              <c:numCache>
                <c:formatCode>General</c:formatCode>
                <c:ptCount val="5"/>
                <c:pt idx="0">
                  <c:v>2019</c:v>
                </c:pt>
                <c:pt idx="1">
                  <c:v>2020</c:v>
                </c:pt>
                <c:pt idx="2">
                  <c:v>2021</c:v>
                </c:pt>
                <c:pt idx="3">
                  <c:v>2022</c:v>
                </c:pt>
                <c:pt idx="4">
                  <c:v>2023</c:v>
                </c:pt>
              </c:numCache>
            </c:numRef>
          </c:cat>
          <c:val>
            <c:numRef>
              <c:f>[0]!Verwarming_elektrisch</c:f>
              <c:numCache>
                <c:formatCode>General</c:formatCode>
                <c:ptCount val="5"/>
                <c:pt idx="0">
                  <c:v>135</c:v>
                </c:pt>
                <c:pt idx="1">
                  <c:v>194</c:v>
                </c:pt>
                <c:pt idx="2">
                  <c:v>215</c:v>
                </c:pt>
                <c:pt idx="3">
                  <c:v>393</c:v>
                </c:pt>
                <c:pt idx="4">
                  <c:v>756</c:v>
                </c:pt>
              </c:numCache>
            </c:numRef>
          </c:val>
          <c:extLst>
            <c:ext xmlns:c16="http://schemas.microsoft.com/office/drawing/2014/chart" uri="{C3380CC4-5D6E-409C-BE32-E72D297353CC}">
              <c16:uniqueId val="{00000002-A69B-AB41-86F7-6B8AA6EC8135}"/>
            </c:ext>
          </c:extLst>
        </c:ser>
        <c:ser>
          <c:idx val="3"/>
          <c:order val="1"/>
          <c:tx>
            <c:v>Stadsverwarming</c:v>
          </c:tx>
          <c:spPr>
            <a:solidFill>
              <a:schemeClr val="accent5"/>
            </a:solidFill>
            <a:ln>
              <a:noFill/>
            </a:ln>
            <a:effectLst/>
          </c:spPr>
          <c:invertIfNegative val="0"/>
          <c:cat>
            <c:numRef>
              <c:f>[0]!Jaren_Brondata</c:f>
              <c:numCache>
                <c:formatCode>General</c:formatCode>
                <c:ptCount val="5"/>
                <c:pt idx="0">
                  <c:v>2019</c:v>
                </c:pt>
                <c:pt idx="1">
                  <c:v>2020</c:v>
                </c:pt>
                <c:pt idx="2">
                  <c:v>2021</c:v>
                </c:pt>
                <c:pt idx="3">
                  <c:v>2022</c:v>
                </c:pt>
                <c:pt idx="4">
                  <c:v>2023</c:v>
                </c:pt>
              </c:numCache>
            </c:numRef>
          </c:cat>
          <c:val>
            <c:numRef>
              <c:f>[0]!Verwarming_stadsverwarming</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A69B-AB41-86F7-6B8AA6EC8135}"/>
            </c:ext>
          </c:extLst>
        </c:ser>
        <c:dLbls>
          <c:showLegendKey val="0"/>
          <c:showVal val="0"/>
          <c:showCatName val="0"/>
          <c:showSerName val="0"/>
          <c:showPercent val="0"/>
          <c:showBubbleSize val="0"/>
        </c:dLbls>
        <c:gapWidth val="75"/>
        <c:overlap val="100"/>
        <c:axId val="874215776"/>
        <c:axId val="1204261200"/>
      </c:barChart>
      <c:catAx>
        <c:axId val="8742157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crossAx val="1204261200"/>
        <c:crosses val="autoZero"/>
        <c:auto val="1"/>
        <c:lblAlgn val="ctr"/>
        <c:lblOffset val="100"/>
        <c:noMultiLvlLbl val="0"/>
      </c:catAx>
      <c:valAx>
        <c:axId val="1204261200"/>
        <c:scaling>
          <c:orientation val="minMax"/>
          <c:max val="5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nl-NL" sz="1200" b="1">
                    <a:solidFill>
                      <a:schemeClr val="tx2"/>
                    </a:solidFill>
                  </a:rPr>
                  <a:t>Aantal woningen</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crossAx val="874215776"/>
        <c:crosses val="autoZero"/>
        <c:crossBetween val="between"/>
        <c:majorUnit val="200"/>
      </c:valAx>
      <c:spPr>
        <a:noFill/>
        <a:ln>
          <a:noFill/>
        </a:ln>
        <a:effectLst/>
      </c:spPr>
    </c:plotArea>
    <c:legend>
      <c:legendPos val="b"/>
      <c:legendEntry>
        <c:idx val="1"/>
        <c:delete val="1"/>
      </c:legendEntry>
      <c:layout>
        <c:manualLayout>
          <c:xMode val="edge"/>
          <c:yMode val="edge"/>
          <c:x val="0.2906207345486107"/>
          <c:y val="0.87575872420551581"/>
          <c:w val="0.46259375019377458"/>
          <c:h val="0.102083209290251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1583673068057E-2"/>
          <c:y val="0"/>
          <c:w val="0.90902307561890838"/>
          <c:h val="0.97727338962831967"/>
        </c:manualLayout>
      </c:layout>
      <c:doughnutChart>
        <c:varyColors val="1"/>
        <c:ser>
          <c:idx val="0"/>
          <c:order val="0"/>
          <c:spPr>
            <a:effectLst>
              <a:softEdge rad="0"/>
            </a:effectLst>
          </c:spPr>
          <c:dPt>
            <c:idx val="0"/>
            <c:bubble3D val="0"/>
            <c:spPr>
              <a:solidFill>
                <a:schemeClr val="tx2">
                  <a:lumMod val="10000"/>
                  <a:lumOff val="90000"/>
                </a:schemeClr>
              </a:solidFill>
              <a:ln w="19050">
                <a:solidFill>
                  <a:schemeClr val="lt1"/>
                </a:solidFill>
              </a:ln>
              <a:effectLst>
                <a:softEdge rad="0"/>
              </a:effectLst>
            </c:spPr>
            <c:extLst>
              <c:ext xmlns:c16="http://schemas.microsoft.com/office/drawing/2014/chart" uri="{C3380CC4-5D6E-409C-BE32-E72D297353CC}">
                <c16:uniqueId val="{00000008-3091-ED49-AD9E-8A43AAEDF071}"/>
              </c:ext>
            </c:extLst>
          </c:dPt>
          <c:dPt>
            <c:idx val="1"/>
            <c:bubble3D val="0"/>
            <c:spPr>
              <a:solidFill>
                <a:srgbClr val="4F95DA"/>
              </a:solidFill>
              <a:ln w="19050">
                <a:solidFill>
                  <a:schemeClr val="lt1"/>
                </a:solidFill>
              </a:ln>
              <a:effectLst>
                <a:softEdge rad="0"/>
              </a:effectLst>
            </c:spPr>
            <c:extLst>
              <c:ext xmlns:c16="http://schemas.microsoft.com/office/drawing/2014/chart" uri="{C3380CC4-5D6E-409C-BE32-E72D297353CC}">
                <c16:uniqueId val="{0000000A-3091-ED49-AD9E-8A43AAEDF071}"/>
              </c:ext>
            </c:extLst>
          </c:dPt>
          <c:dPt>
            <c:idx val="2"/>
            <c:bubble3D val="0"/>
            <c:spPr>
              <a:solidFill>
                <a:schemeClr val="tx2">
                  <a:lumMod val="10000"/>
                  <a:lumOff val="90000"/>
                </a:schemeClr>
              </a:solidFill>
              <a:ln w="19050">
                <a:solidFill>
                  <a:schemeClr val="lt1"/>
                </a:solidFill>
              </a:ln>
              <a:effectLst>
                <a:softEdge rad="0"/>
              </a:effectLst>
            </c:spPr>
            <c:extLst>
              <c:ext xmlns:c16="http://schemas.microsoft.com/office/drawing/2014/chart" uri="{C3380CC4-5D6E-409C-BE32-E72D297353CC}">
                <c16:uniqueId val="{0000000C-3091-ED49-AD9E-8A43AAEDF071}"/>
              </c:ext>
            </c:extLst>
          </c:dPt>
          <c:dLbls>
            <c:dLbl>
              <c:idx val="0"/>
              <c:delete val="1"/>
              <c:extLst>
                <c:ext xmlns:c15="http://schemas.microsoft.com/office/drawing/2012/chart" uri="{CE6537A1-D6FC-4f65-9D91-7224C49458BB}"/>
                <c:ext xmlns:c16="http://schemas.microsoft.com/office/drawing/2014/chart" uri="{C3380CC4-5D6E-409C-BE32-E72D297353CC}">
                  <c16:uniqueId val="{00000008-3091-ED49-AD9E-8A43AAEDF071}"/>
                </c:ext>
              </c:extLst>
            </c:dLbl>
            <c:dLbl>
              <c:idx val="2"/>
              <c:delete val="1"/>
              <c:extLst>
                <c:ext xmlns:c15="http://schemas.microsoft.com/office/drawing/2012/chart" uri="{CE6537A1-D6FC-4f65-9D91-7224C49458BB}"/>
                <c:ext xmlns:c16="http://schemas.microsoft.com/office/drawing/2014/chart" uri="{C3380CC4-5D6E-409C-BE32-E72D297353CC}">
                  <c16:uniqueId val="{0000000C-3091-ED49-AD9E-8A43AAEDF071}"/>
                </c:ext>
              </c:extLst>
            </c:dLbl>
            <c:spPr>
              <a:solidFill>
                <a:schemeClr val="bg1"/>
              </a:solidFill>
              <a:ln>
                <a:noFill/>
              </a:ln>
              <a:effectLst/>
            </c:spPr>
            <c:txPr>
              <a:bodyPr wrap="square" lIns="38100" tIns="19050" rIns="38100" bIns="19050" anchor="ctr">
                <a:spAutoFit/>
              </a:bodyPr>
              <a:lstStyle/>
              <a:p>
                <a:pPr>
                  <a:defRPr sz="1100" b="1"/>
                </a:pPr>
                <a:endParaRPr lang="nl-NL"/>
              </a:p>
            </c:txPr>
            <c:showLegendKey val="0"/>
            <c:showVal val="0"/>
            <c:showCatName val="0"/>
            <c:showSerName val="0"/>
            <c:showPercent val="1"/>
            <c:showBubbleSize val="0"/>
            <c:showLeaderLines val="1"/>
            <c:extLst>
              <c:ext xmlns:c15="http://schemas.microsoft.com/office/drawing/2012/chart" uri="{CE6537A1-D6FC-4f65-9D91-7224C49458BB}"/>
            </c:extLst>
          </c:dLbls>
          <c:cat>
            <c:strRef>
              <c:f>Grafieken!$B$30:$B$32</c:f>
              <c:strCache>
                <c:ptCount val="3"/>
                <c:pt idx="0">
                  <c:v>Gebouwde omgeving</c:v>
                </c:pt>
                <c:pt idx="1">
                  <c:v>Verkeer en vervoer</c:v>
                </c:pt>
                <c:pt idx="2">
                  <c:v>Industrie, energie, afval en water</c:v>
                </c:pt>
              </c:strCache>
            </c:strRef>
          </c:cat>
          <c:val>
            <c:numRef>
              <c:f>Grafieken!$C$30:$C$32</c:f>
              <c:numCache>
                <c:formatCode>General</c:formatCode>
                <c:ptCount val="3"/>
                <c:pt idx="0">
                  <c:v>89000</c:v>
                </c:pt>
                <c:pt idx="1">
                  <c:v>43800</c:v>
                </c:pt>
                <c:pt idx="2">
                  <c:v>37300.000000000015</c:v>
                </c:pt>
              </c:numCache>
            </c:numRef>
          </c:val>
          <c:extLst>
            <c:ext xmlns:c16="http://schemas.microsoft.com/office/drawing/2014/chart" uri="{C3380CC4-5D6E-409C-BE32-E72D297353CC}">
              <c16:uniqueId val="{0000000D-3091-ED49-AD9E-8A43AAEDF071}"/>
            </c:ext>
          </c:extLst>
        </c:ser>
        <c:dLbls>
          <c:showLegendKey val="0"/>
          <c:showVal val="1"/>
          <c:showCatName val="0"/>
          <c:showSerName val="0"/>
          <c:showPercent val="0"/>
          <c:showBubbleSize val="0"/>
          <c:showLeaderLines val="1"/>
        </c:dLbls>
        <c:firstSliceAng val="0"/>
        <c:holeSize val="54"/>
      </c:doughnutChart>
      <c:spPr>
        <a:noFill/>
        <a:ln>
          <a:noFill/>
        </a:ln>
        <a:effectLst>
          <a:outerShdw dist="50800" dir="5400000" sx="1000" sy="1000" algn="ctr" rotWithShape="0">
            <a:srgbClr val="000000">
              <a:alpha val="43137"/>
            </a:srgbClr>
          </a:outerShdw>
        </a:effectLst>
      </c:spPr>
    </c:plotArea>
    <c:plotVisOnly val="1"/>
    <c:dispBlanksAs val="gap"/>
    <c:showDLblsOverMax val="0"/>
    <c:extLst/>
  </c:chart>
  <c:spPr>
    <a:noFill/>
    <a:ln>
      <a:noFill/>
    </a:ln>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372370054040323E-2"/>
          <c:y val="9.7725446202109725E-2"/>
          <c:w val="0.89487683599880097"/>
          <c:h val="0.42130225093092821"/>
        </c:manualLayout>
      </c:layout>
      <c:barChart>
        <c:barDir val="bar"/>
        <c:grouping val="percentStacked"/>
        <c:varyColors val="0"/>
        <c:ser>
          <c:idx val="0"/>
          <c:order val="0"/>
          <c:tx>
            <c:strRef>
              <c:f>Grafieken!$C$37</c:f>
              <c:strCache>
                <c:ptCount val="1"/>
                <c:pt idx="0">
                  <c:v>29 - 34 °C</c:v>
                </c:pt>
              </c:strCache>
            </c:strRef>
          </c:tx>
          <c:spPr>
            <a:solidFill>
              <a:schemeClr val="accent1">
                <a:lumMod val="20000"/>
                <a:lumOff val="80000"/>
              </a:schemeClr>
            </a:solidFill>
            <a:ln>
              <a:noFill/>
            </a:ln>
            <a:effectLst/>
          </c:spPr>
          <c:invertIfNegative val="0"/>
          <c:cat>
            <c:strRef>
              <c:f>Grafieken!$B$38</c:f>
              <c:strCache>
                <c:ptCount val="1"/>
                <c:pt idx="0">
                  <c:v>Beverwijk</c:v>
                </c:pt>
              </c:strCache>
            </c:strRef>
          </c:cat>
          <c:val>
            <c:numRef>
              <c:f>Grafieken!$C$38</c:f>
              <c:numCache>
                <c:formatCode>General</c:formatCode>
                <c:ptCount val="1"/>
                <c:pt idx="0">
                  <c:v>0</c:v>
                </c:pt>
              </c:numCache>
            </c:numRef>
          </c:val>
          <c:extLst>
            <c:ext xmlns:c16="http://schemas.microsoft.com/office/drawing/2014/chart" uri="{C3380CC4-5D6E-409C-BE32-E72D297353CC}">
              <c16:uniqueId val="{00000000-EEBD-4A43-9837-EBF36375F60E}"/>
            </c:ext>
          </c:extLst>
        </c:ser>
        <c:ser>
          <c:idx val="1"/>
          <c:order val="1"/>
          <c:tx>
            <c:strRef>
              <c:f>Grafieken!$D$37</c:f>
              <c:strCache>
                <c:ptCount val="1"/>
                <c:pt idx="0">
                  <c:v>35 - 40 °C</c:v>
                </c:pt>
              </c:strCache>
            </c:strRef>
          </c:tx>
          <c:spPr>
            <a:solidFill>
              <a:schemeClr val="accent1">
                <a:lumMod val="40000"/>
                <a:lumOff val="60000"/>
              </a:schemeClr>
            </a:solidFill>
            <a:ln>
              <a:noFill/>
            </a:ln>
            <a:effectLst/>
          </c:spPr>
          <c:invertIfNegative val="0"/>
          <c:cat>
            <c:strRef>
              <c:f>Grafieken!$B$38</c:f>
              <c:strCache>
                <c:ptCount val="1"/>
                <c:pt idx="0">
                  <c:v>Beverwijk</c:v>
                </c:pt>
              </c:strCache>
            </c:strRef>
          </c:cat>
          <c:val>
            <c:numRef>
              <c:f>Grafieken!$D$38</c:f>
              <c:numCache>
                <c:formatCode>General</c:formatCode>
                <c:ptCount val="1"/>
                <c:pt idx="0">
                  <c:v>8.1500000000000003E-2</c:v>
                </c:pt>
              </c:numCache>
            </c:numRef>
          </c:val>
          <c:extLst>
            <c:ext xmlns:c16="http://schemas.microsoft.com/office/drawing/2014/chart" uri="{C3380CC4-5D6E-409C-BE32-E72D297353CC}">
              <c16:uniqueId val="{00000001-EEBD-4A43-9837-EBF36375F60E}"/>
            </c:ext>
          </c:extLst>
        </c:ser>
        <c:ser>
          <c:idx val="2"/>
          <c:order val="2"/>
          <c:tx>
            <c:strRef>
              <c:f>Grafieken!$E$37</c:f>
              <c:strCache>
                <c:ptCount val="1"/>
                <c:pt idx="0">
                  <c:v>41 - 45 °C</c:v>
                </c:pt>
              </c:strCache>
            </c:strRef>
          </c:tx>
          <c:spPr>
            <a:solidFill>
              <a:schemeClr val="accent1">
                <a:lumMod val="60000"/>
                <a:lumOff val="40000"/>
              </a:schemeClr>
            </a:solidFill>
            <a:ln>
              <a:noFill/>
            </a:ln>
            <a:effectLst/>
          </c:spPr>
          <c:invertIfNegative val="0"/>
          <c:cat>
            <c:strRef>
              <c:f>Grafieken!$B$38</c:f>
              <c:strCache>
                <c:ptCount val="1"/>
                <c:pt idx="0">
                  <c:v>Beverwijk</c:v>
                </c:pt>
              </c:strCache>
            </c:strRef>
          </c:cat>
          <c:val>
            <c:numRef>
              <c:f>Grafieken!$E$38</c:f>
              <c:numCache>
                <c:formatCode>General</c:formatCode>
                <c:ptCount val="1"/>
                <c:pt idx="0">
                  <c:v>0.114</c:v>
                </c:pt>
              </c:numCache>
            </c:numRef>
          </c:val>
          <c:extLst>
            <c:ext xmlns:c16="http://schemas.microsoft.com/office/drawing/2014/chart" uri="{C3380CC4-5D6E-409C-BE32-E72D297353CC}">
              <c16:uniqueId val="{00000002-EEBD-4A43-9837-EBF36375F60E}"/>
            </c:ext>
          </c:extLst>
        </c:ser>
        <c:ser>
          <c:idx val="3"/>
          <c:order val="3"/>
          <c:tx>
            <c:strRef>
              <c:f>Grafieken!$F$37</c:f>
              <c:strCache>
                <c:ptCount val="1"/>
                <c:pt idx="0">
                  <c:v>46 - 50 °C</c:v>
                </c:pt>
              </c:strCache>
            </c:strRef>
          </c:tx>
          <c:spPr>
            <a:solidFill>
              <a:schemeClr val="accent1"/>
            </a:solidFill>
            <a:ln>
              <a:noFill/>
            </a:ln>
            <a:effectLst/>
          </c:spPr>
          <c:invertIfNegative val="0"/>
          <c:cat>
            <c:strRef>
              <c:f>Grafieken!$B$38</c:f>
              <c:strCache>
                <c:ptCount val="1"/>
                <c:pt idx="0">
                  <c:v>Beverwijk</c:v>
                </c:pt>
              </c:strCache>
            </c:strRef>
          </c:cat>
          <c:val>
            <c:numRef>
              <c:f>Grafieken!$F$38</c:f>
              <c:numCache>
                <c:formatCode>General</c:formatCode>
                <c:ptCount val="1"/>
                <c:pt idx="0">
                  <c:v>0.53900000000000003</c:v>
                </c:pt>
              </c:numCache>
            </c:numRef>
          </c:val>
          <c:extLst>
            <c:ext xmlns:c16="http://schemas.microsoft.com/office/drawing/2014/chart" uri="{C3380CC4-5D6E-409C-BE32-E72D297353CC}">
              <c16:uniqueId val="{00000003-EEBD-4A43-9837-EBF36375F60E}"/>
            </c:ext>
          </c:extLst>
        </c:ser>
        <c:ser>
          <c:idx val="4"/>
          <c:order val="4"/>
          <c:tx>
            <c:strRef>
              <c:f>Grafieken!$G$37</c:f>
              <c:strCache>
                <c:ptCount val="1"/>
                <c:pt idx="0">
                  <c:v>51 °C +</c:v>
                </c:pt>
              </c:strCache>
            </c:strRef>
          </c:tx>
          <c:spPr>
            <a:solidFill>
              <a:schemeClr val="accent1">
                <a:lumMod val="75000"/>
              </a:schemeClr>
            </a:solidFill>
            <a:ln>
              <a:noFill/>
            </a:ln>
            <a:effectLst/>
          </c:spPr>
          <c:invertIfNegative val="0"/>
          <c:cat>
            <c:strRef>
              <c:f>Grafieken!$B$38</c:f>
              <c:strCache>
                <c:ptCount val="1"/>
                <c:pt idx="0">
                  <c:v>Beverwijk</c:v>
                </c:pt>
              </c:strCache>
            </c:strRef>
          </c:cat>
          <c:val>
            <c:numRef>
              <c:f>Grafieken!$G$38</c:f>
              <c:numCache>
                <c:formatCode>General</c:formatCode>
                <c:ptCount val="1"/>
                <c:pt idx="0">
                  <c:v>0</c:v>
                </c:pt>
              </c:numCache>
            </c:numRef>
          </c:val>
          <c:extLst>
            <c:ext xmlns:c16="http://schemas.microsoft.com/office/drawing/2014/chart" uri="{C3380CC4-5D6E-409C-BE32-E72D297353CC}">
              <c16:uniqueId val="{00000004-EEBD-4A43-9837-EBF36375F60E}"/>
            </c:ext>
          </c:extLst>
        </c:ser>
        <c:ser>
          <c:idx val="5"/>
          <c:order val="5"/>
          <c:tx>
            <c:strRef>
              <c:f>Grafieken!$H$37</c:f>
              <c:strCache>
                <c:ptCount val="1"/>
                <c:pt idx="0">
                  <c:v>Geen data</c:v>
                </c:pt>
              </c:strCache>
            </c:strRef>
          </c:tx>
          <c:spPr>
            <a:solidFill>
              <a:schemeClr val="bg1">
                <a:lumMod val="85000"/>
              </a:schemeClr>
            </a:solidFill>
            <a:ln>
              <a:noFill/>
            </a:ln>
            <a:effectLst/>
          </c:spPr>
          <c:invertIfNegative val="0"/>
          <c:cat>
            <c:strRef>
              <c:f>Grafieken!$B$38</c:f>
              <c:strCache>
                <c:ptCount val="1"/>
                <c:pt idx="0">
                  <c:v>Beverwijk</c:v>
                </c:pt>
              </c:strCache>
            </c:strRef>
          </c:cat>
          <c:val>
            <c:numRef>
              <c:f>Grafieken!$H$38</c:f>
              <c:numCache>
                <c:formatCode>General</c:formatCode>
                <c:ptCount val="1"/>
                <c:pt idx="0">
                  <c:v>2.1000000000000001E-2</c:v>
                </c:pt>
              </c:numCache>
            </c:numRef>
          </c:val>
          <c:extLst>
            <c:ext xmlns:c16="http://schemas.microsoft.com/office/drawing/2014/chart" uri="{C3380CC4-5D6E-409C-BE32-E72D297353CC}">
              <c16:uniqueId val="{00000005-EEBD-4A43-9837-EBF36375F60E}"/>
            </c:ext>
          </c:extLst>
        </c:ser>
        <c:dLbls>
          <c:showLegendKey val="0"/>
          <c:showVal val="0"/>
          <c:showCatName val="0"/>
          <c:showSerName val="0"/>
          <c:showPercent val="0"/>
          <c:showBubbleSize val="0"/>
        </c:dLbls>
        <c:gapWidth val="107"/>
        <c:overlap val="100"/>
        <c:axId val="162053920"/>
        <c:axId val="734400031"/>
      </c:barChart>
      <c:catAx>
        <c:axId val="162053920"/>
        <c:scaling>
          <c:orientation val="minMax"/>
        </c:scaling>
        <c:delete val="1"/>
        <c:axPos val="l"/>
        <c:numFmt formatCode="General" sourceLinked="1"/>
        <c:majorTickMark val="none"/>
        <c:minorTickMark val="none"/>
        <c:tickLblPos val="nextTo"/>
        <c:crossAx val="734400031"/>
        <c:crosses val="autoZero"/>
        <c:auto val="1"/>
        <c:lblAlgn val="ctr"/>
        <c:lblOffset val="100"/>
        <c:noMultiLvlLbl val="0"/>
      </c:catAx>
      <c:valAx>
        <c:axId val="734400031"/>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crossAx val="162053920"/>
        <c:crosses val="autoZero"/>
        <c:crossBetween val="between"/>
        <c:majorUnit val="0.5"/>
      </c:valAx>
      <c:spPr>
        <a:noFill/>
        <a:ln>
          <a:noFill/>
        </a:ln>
        <a:effectLst/>
      </c:spPr>
    </c:plotArea>
    <c:legend>
      <c:legendPos val="b"/>
      <c:layout>
        <c:manualLayout>
          <c:xMode val="edge"/>
          <c:yMode val="edge"/>
          <c:x val="1.6333254586614117E-3"/>
          <c:y val="0.69718843082941262"/>
          <c:w val="0.92046525774843091"/>
          <c:h val="0.1671621536660186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571583673068057E-2"/>
          <c:y val="0"/>
          <c:w val="0.90902307561890838"/>
          <c:h val="0.97727338962831967"/>
        </c:manualLayout>
      </c:layout>
      <c:doughnutChart>
        <c:varyColors val="1"/>
        <c:ser>
          <c:idx val="0"/>
          <c:order val="0"/>
          <c:spPr>
            <a:effectLst>
              <a:softEdge rad="0"/>
            </a:effectLst>
          </c:spPr>
          <c:dPt>
            <c:idx val="0"/>
            <c:bubble3D val="0"/>
            <c:spPr>
              <a:solidFill>
                <a:schemeClr val="tx2">
                  <a:lumMod val="10000"/>
                  <a:lumOff val="90000"/>
                </a:schemeClr>
              </a:solidFill>
              <a:ln w="19050">
                <a:solidFill>
                  <a:schemeClr val="lt1"/>
                </a:solidFill>
              </a:ln>
              <a:effectLst>
                <a:softEdge rad="0"/>
              </a:effectLst>
            </c:spPr>
            <c:extLst>
              <c:ext xmlns:c16="http://schemas.microsoft.com/office/drawing/2014/chart" uri="{C3380CC4-5D6E-409C-BE32-E72D297353CC}">
                <c16:uniqueId val="{00000001-7D84-2A49-8DFF-B6930B1F9F5A}"/>
              </c:ext>
            </c:extLst>
          </c:dPt>
          <c:dPt>
            <c:idx val="1"/>
            <c:bubble3D val="0"/>
            <c:spPr>
              <a:solidFill>
                <a:schemeClr val="tx2">
                  <a:lumMod val="10000"/>
                  <a:lumOff val="90000"/>
                </a:schemeClr>
              </a:solidFill>
              <a:ln w="19050">
                <a:solidFill>
                  <a:schemeClr val="lt1"/>
                </a:solidFill>
              </a:ln>
              <a:effectLst>
                <a:softEdge rad="0"/>
              </a:effectLst>
            </c:spPr>
            <c:extLst>
              <c:ext xmlns:c16="http://schemas.microsoft.com/office/drawing/2014/chart" uri="{C3380CC4-5D6E-409C-BE32-E72D297353CC}">
                <c16:uniqueId val="{00000003-7D84-2A49-8DFF-B6930B1F9F5A}"/>
              </c:ext>
            </c:extLst>
          </c:dPt>
          <c:dPt>
            <c:idx val="2"/>
            <c:bubble3D val="0"/>
            <c:spPr>
              <a:solidFill>
                <a:srgbClr val="A6CAED"/>
              </a:solidFill>
              <a:ln w="19050">
                <a:solidFill>
                  <a:schemeClr val="lt1"/>
                </a:solidFill>
              </a:ln>
              <a:effectLst>
                <a:softEdge rad="0"/>
              </a:effectLst>
            </c:spPr>
            <c:extLst>
              <c:ext xmlns:c16="http://schemas.microsoft.com/office/drawing/2014/chart" uri="{C3380CC4-5D6E-409C-BE32-E72D297353CC}">
                <c16:uniqueId val="{00000005-7D84-2A49-8DFF-B6930B1F9F5A}"/>
              </c:ext>
            </c:extLst>
          </c:dPt>
          <c:dLbls>
            <c:dLbl>
              <c:idx val="0"/>
              <c:delete val="1"/>
              <c:extLst>
                <c:ext xmlns:c15="http://schemas.microsoft.com/office/drawing/2012/chart" uri="{CE6537A1-D6FC-4f65-9D91-7224C49458BB}"/>
                <c:ext xmlns:c16="http://schemas.microsoft.com/office/drawing/2014/chart" uri="{C3380CC4-5D6E-409C-BE32-E72D297353CC}">
                  <c16:uniqueId val="{00000001-7D84-2A49-8DFF-B6930B1F9F5A}"/>
                </c:ext>
              </c:extLst>
            </c:dLbl>
            <c:dLbl>
              <c:idx val="1"/>
              <c:delete val="1"/>
              <c:extLst>
                <c:ext xmlns:c15="http://schemas.microsoft.com/office/drawing/2012/chart" uri="{CE6537A1-D6FC-4f65-9D91-7224C49458BB}"/>
                <c:ext xmlns:c16="http://schemas.microsoft.com/office/drawing/2014/chart" uri="{C3380CC4-5D6E-409C-BE32-E72D297353CC}">
                  <c16:uniqueId val="{00000003-7D84-2A49-8DFF-B6930B1F9F5A}"/>
                </c:ext>
              </c:extLst>
            </c:dLbl>
            <c:spPr>
              <a:solidFill>
                <a:schemeClr val="bg1"/>
              </a:solidFill>
              <a:ln>
                <a:noFill/>
              </a:ln>
              <a:effectLst/>
            </c:spPr>
            <c:txPr>
              <a:bodyPr wrap="square" lIns="38100" tIns="19050" rIns="38100" bIns="19050" anchor="ctr">
                <a:spAutoFit/>
              </a:bodyPr>
              <a:lstStyle/>
              <a:p>
                <a:pPr>
                  <a:defRPr sz="1100" b="1"/>
                </a:pPr>
                <a:endParaRPr lang="nl-NL"/>
              </a:p>
            </c:txPr>
            <c:showLegendKey val="0"/>
            <c:showVal val="0"/>
            <c:showCatName val="0"/>
            <c:showSerName val="0"/>
            <c:showPercent val="1"/>
            <c:showBubbleSize val="0"/>
            <c:showLeaderLines val="1"/>
            <c:extLst>
              <c:ext xmlns:c15="http://schemas.microsoft.com/office/drawing/2012/chart" uri="{CE6537A1-D6FC-4f65-9D91-7224C49458BB}"/>
            </c:extLst>
          </c:dLbls>
          <c:cat>
            <c:strRef>
              <c:f>Grafieken!$B$30:$B$32</c:f>
              <c:strCache>
                <c:ptCount val="3"/>
                <c:pt idx="0">
                  <c:v>Gebouwde omgeving</c:v>
                </c:pt>
                <c:pt idx="1">
                  <c:v>Verkeer en vervoer</c:v>
                </c:pt>
                <c:pt idx="2">
                  <c:v>Industrie, energie, afval en water</c:v>
                </c:pt>
              </c:strCache>
            </c:strRef>
          </c:cat>
          <c:val>
            <c:numRef>
              <c:f>Grafieken!$C$30:$C$32</c:f>
              <c:numCache>
                <c:formatCode>General</c:formatCode>
                <c:ptCount val="3"/>
                <c:pt idx="0">
                  <c:v>89000</c:v>
                </c:pt>
                <c:pt idx="1">
                  <c:v>43800</c:v>
                </c:pt>
                <c:pt idx="2">
                  <c:v>37300.000000000015</c:v>
                </c:pt>
              </c:numCache>
            </c:numRef>
          </c:val>
          <c:extLst>
            <c:ext xmlns:c16="http://schemas.microsoft.com/office/drawing/2014/chart" uri="{C3380CC4-5D6E-409C-BE32-E72D297353CC}">
              <c16:uniqueId val="{00000006-7D84-2A49-8DFF-B6930B1F9F5A}"/>
            </c:ext>
          </c:extLst>
        </c:ser>
        <c:dLbls>
          <c:showLegendKey val="0"/>
          <c:showVal val="1"/>
          <c:showCatName val="0"/>
          <c:showSerName val="0"/>
          <c:showPercent val="0"/>
          <c:showBubbleSize val="0"/>
          <c:showLeaderLines val="1"/>
        </c:dLbls>
        <c:firstSliceAng val="0"/>
        <c:holeSize val="54"/>
      </c:doughnutChart>
      <c:spPr>
        <a:noFill/>
        <a:ln>
          <a:noFill/>
        </a:ln>
        <a:effectLst>
          <a:outerShdw dist="50800" dir="5400000" sx="1000" sy="1000" algn="ctr" rotWithShape="0">
            <a:srgbClr val="000000">
              <a:alpha val="43137"/>
            </a:srgbClr>
          </a:outerShdw>
        </a:effectLst>
      </c:spPr>
    </c:plotArea>
    <c:plotVisOnly val="1"/>
    <c:dispBlanksAs val="gap"/>
    <c:showDLblsOverMax val="0"/>
    <c:extLst/>
  </c:chart>
  <c:spPr>
    <a:noFill/>
    <a:ln>
      <a:noFill/>
    </a:ln>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Geplante bomen</c:v>
          </c:tx>
          <c:spPr>
            <a:solidFill>
              <a:srgbClr val="4F95DA"/>
            </a:solidFill>
            <a:ln>
              <a:noFill/>
            </a:ln>
            <a:effectLst/>
          </c:spPr>
          <c:invertIfNegative val="0"/>
          <c:cat>
            <c:numRef>
              <c:f>[0]!Jaren_Brondata</c:f>
              <c:numCache>
                <c:formatCode>General</c:formatCode>
                <c:ptCount val="5"/>
                <c:pt idx="0">
                  <c:v>2019</c:v>
                </c:pt>
                <c:pt idx="1">
                  <c:v>2020</c:v>
                </c:pt>
                <c:pt idx="2">
                  <c:v>2021</c:v>
                </c:pt>
                <c:pt idx="3">
                  <c:v>2022</c:v>
                </c:pt>
                <c:pt idx="4">
                  <c:v>2023</c:v>
                </c:pt>
              </c:numCache>
            </c:numRef>
          </c:cat>
          <c:val>
            <c:numRef>
              <c:f>[0]!Geplante_bomen</c:f>
              <c:numCache>
                <c:formatCode>General</c:formatCode>
                <c:ptCount val="5"/>
                <c:pt idx="0">
                  <c:v>319</c:v>
                </c:pt>
                <c:pt idx="1">
                  <c:v>211</c:v>
                </c:pt>
                <c:pt idx="2">
                  <c:v>489</c:v>
                </c:pt>
                <c:pt idx="3">
                  <c:v>587</c:v>
                </c:pt>
                <c:pt idx="4">
                  <c:v>318</c:v>
                </c:pt>
              </c:numCache>
            </c:numRef>
          </c:val>
          <c:extLst>
            <c:ext xmlns:c16="http://schemas.microsoft.com/office/drawing/2014/chart" uri="{C3380CC4-5D6E-409C-BE32-E72D297353CC}">
              <c16:uniqueId val="{00000001-3C9B-B941-98D7-6C71B957DF9C}"/>
            </c:ext>
          </c:extLst>
        </c:ser>
        <c:ser>
          <c:idx val="1"/>
          <c:order val="1"/>
          <c:tx>
            <c:v>Gekapte bomen</c:v>
          </c:tx>
          <c:spPr>
            <a:solidFill>
              <a:schemeClr val="accent1"/>
            </a:solidFill>
            <a:ln>
              <a:noFill/>
            </a:ln>
            <a:effectLst/>
          </c:spPr>
          <c:invertIfNegative val="0"/>
          <c:cat>
            <c:numRef>
              <c:f>[0]!Jaren_Brondata</c:f>
              <c:numCache>
                <c:formatCode>General</c:formatCode>
                <c:ptCount val="5"/>
                <c:pt idx="0">
                  <c:v>2019</c:v>
                </c:pt>
                <c:pt idx="1">
                  <c:v>2020</c:v>
                </c:pt>
                <c:pt idx="2">
                  <c:v>2021</c:v>
                </c:pt>
                <c:pt idx="3">
                  <c:v>2022</c:v>
                </c:pt>
                <c:pt idx="4">
                  <c:v>2023</c:v>
                </c:pt>
              </c:numCache>
            </c:numRef>
          </c:cat>
          <c:val>
            <c:numRef>
              <c:f>[0]!Gekapte_bomen</c:f>
              <c:numCache>
                <c:formatCode>General</c:formatCode>
                <c:ptCount val="5"/>
                <c:pt idx="0">
                  <c:v>273</c:v>
                </c:pt>
                <c:pt idx="1">
                  <c:v>335</c:v>
                </c:pt>
                <c:pt idx="2">
                  <c:v>476</c:v>
                </c:pt>
                <c:pt idx="3">
                  <c:v>448</c:v>
                </c:pt>
                <c:pt idx="4">
                  <c:v>299</c:v>
                </c:pt>
              </c:numCache>
            </c:numRef>
          </c:val>
          <c:extLst>
            <c:ext xmlns:c16="http://schemas.microsoft.com/office/drawing/2014/chart" uri="{C3380CC4-5D6E-409C-BE32-E72D297353CC}">
              <c16:uniqueId val="{00000002-3C9B-B941-98D7-6C71B957DF9C}"/>
            </c:ext>
          </c:extLst>
        </c:ser>
        <c:dLbls>
          <c:showLegendKey val="0"/>
          <c:showVal val="0"/>
          <c:showCatName val="0"/>
          <c:showSerName val="0"/>
          <c:showPercent val="0"/>
          <c:showBubbleSize val="0"/>
        </c:dLbls>
        <c:gapWidth val="219"/>
        <c:overlap val="-27"/>
        <c:axId val="1085578800"/>
        <c:axId val="1018211071"/>
      </c:barChart>
      <c:catAx>
        <c:axId val="10855788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crossAx val="1018211071"/>
        <c:crosses val="autoZero"/>
        <c:auto val="1"/>
        <c:lblAlgn val="ctr"/>
        <c:lblOffset val="100"/>
        <c:noMultiLvlLbl val="0"/>
      </c:catAx>
      <c:valAx>
        <c:axId val="1018211071"/>
        <c:scaling>
          <c:orientation val="minMax"/>
          <c:max val="80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crossAx val="1085578800"/>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1.png"/><Relationship Id="rId18" Type="http://schemas.openxmlformats.org/officeDocument/2006/relationships/image" Target="../media/image16.svg"/><Relationship Id="rId26" Type="http://schemas.openxmlformats.org/officeDocument/2006/relationships/image" Target="../media/image24.svg"/><Relationship Id="rId39" Type="http://schemas.openxmlformats.org/officeDocument/2006/relationships/image" Target="../media/image36.png"/><Relationship Id="rId21" Type="http://schemas.openxmlformats.org/officeDocument/2006/relationships/image" Target="../media/image19.png"/><Relationship Id="rId34" Type="http://schemas.openxmlformats.org/officeDocument/2006/relationships/image" Target="../media/image31.png"/><Relationship Id="rId42" Type="http://schemas.openxmlformats.org/officeDocument/2006/relationships/image" Target="../media/image39.svg"/><Relationship Id="rId47" Type="http://schemas.openxmlformats.org/officeDocument/2006/relationships/image" Target="../media/image43.svg"/><Relationship Id="rId7" Type="http://schemas.openxmlformats.org/officeDocument/2006/relationships/image" Target="../media/image6.svg"/><Relationship Id="rId2" Type="http://schemas.openxmlformats.org/officeDocument/2006/relationships/chart" Target="../charts/chart2.xml"/><Relationship Id="rId16" Type="http://schemas.openxmlformats.org/officeDocument/2006/relationships/image" Target="../media/image14.svg"/><Relationship Id="rId29" Type="http://schemas.openxmlformats.org/officeDocument/2006/relationships/chart" Target="../charts/chart7.xml"/><Relationship Id="rId11" Type="http://schemas.openxmlformats.org/officeDocument/2006/relationships/image" Target="../media/image10.svg"/><Relationship Id="rId24" Type="http://schemas.openxmlformats.org/officeDocument/2006/relationships/image" Target="../media/image22.svg"/><Relationship Id="rId32" Type="http://schemas.openxmlformats.org/officeDocument/2006/relationships/image" Target="../media/image29.png"/><Relationship Id="rId37" Type="http://schemas.openxmlformats.org/officeDocument/2006/relationships/image" Target="../media/image34.svg"/><Relationship Id="rId40" Type="http://schemas.openxmlformats.org/officeDocument/2006/relationships/image" Target="../media/image37.svg"/><Relationship Id="rId45" Type="http://schemas.openxmlformats.org/officeDocument/2006/relationships/image" Target="../media/image41.svg"/><Relationship Id="rId5" Type="http://schemas.openxmlformats.org/officeDocument/2006/relationships/chart" Target="../charts/chart5.xml"/><Relationship Id="rId15" Type="http://schemas.openxmlformats.org/officeDocument/2006/relationships/image" Target="../media/image13.png"/><Relationship Id="rId23" Type="http://schemas.openxmlformats.org/officeDocument/2006/relationships/image" Target="../media/image21.png"/><Relationship Id="rId28" Type="http://schemas.openxmlformats.org/officeDocument/2006/relationships/image" Target="../media/image26.svg"/><Relationship Id="rId36" Type="http://schemas.openxmlformats.org/officeDocument/2006/relationships/image" Target="../media/image33.png"/><Relationship Id="rId49" Type="http://schemas.openxmlformats.org/officeDocument/2006/relationships/image" Target="../media/image45.svg"/><Relationship Id="rId10" Type="http://schemas.openxmlformats.org/officeDocument/2006/relationships/image" Target="../media/image9.png"/><Relationship Id="rId19" Type="http://schemas.openxmlformats.org/officeDocument/2006/relationships/image" Target="../media/image17.png"/><Relationship Id="rId31" Type="http://schemas.openxmlformats.org/officeDocument/2006/relationships/image" Target="../media/image28.svg"/><Relationship Id="rId44" Type="http://schemas.openxmlformats.org/officeDocument/2006/relationships/image" Target="../media/image40.png"/><Relationship Id="rId4" Type="http://schemas.openxmlformats.org/officeDocument/2006/relationships/chart" Target="../charts/chart4.xml"/><Relationship Id="rId9" Type="http://schemas.openxmlformats.org/officeDocument/2006/relationships/image" Target="../media/image8.svg"/><Relationship Id="rId14" Type="http://schemas.openxmlformats.org/officeDocument/2006/relationships/image" Target="../media/image12.svg"/><Relationship Id="rId22" Type="http://schemas.openxmlformats.org/officeDocument/2006/relationships/image" Target="../media/image20.svg"/><Relationship Id="rId27" Type="http://schemas.openxmlformats.org/officeDocument/2006/relationships/image" Target="../media/image25.png"/><Relationship Id="rId30" Type="http://schemas.openxmlformats.org/officeDocument/2006/relationships/image" Target="../media/image27.png"/><Relationship Id="rId35" Type="http://schemas.openxmlformats.org/officeDocument/2006/relationships/image" Target="../media/image32.svg"/><Relationship Id="rId43" Type="http://schemas.openxmlformats.org/officeDocument/2006/relationships/chart" Target="../charts/chart8.xml"/><Relationship Id="rId48" Type="http://schemas.openxmlformats.org/officeDocument/2006/relationships/image" Target="../media/image44.png"/><Relationship Id="rId8" Type="http://schemas.openxmlformats.org/officeDocument/2006/relationships/image" Target="../media/image7.png"/><Relationship Id="rId3" Type="http://schemas.openxmlformats.org/officeDocument/2006/relationships/chart" Target="../charts/chart3.xml"/><Relationship Id="rId12" Type="http://schemas.openxmlformats.org/officeDocument/2006/relationships/chart" Target="../charts/chart6.xml"/><Relationship Id="rId17" Type="http://schemas.openxmlformats.org/officeDocument/2006/relationships/image" Target="../media/image15.png"/><Relationship Id="rId25" Type="http://schemas.openxmlformats.org/officeDocument/2006/relationships/image" Target="../media/image23.png"/><Relationship Id="rId33" Type="http://schemas.openxmlformats.org/officeDocument/2006/relationships/image" Target="../media/image30.svg"/><Relationship Id="rId38" Type="http://schemas.openxmlformats.org/officeDocument/2006/relationships/image" Target="../media/image35.png"/><Relationship Id="rId46" Type="http://schemas.openxmlformats.org/officeDocument/2006/relationships/image" Target="../media/image42.png"/><Relationship Id="rId20" Type="http://schemas.openxmlformats.org/officeDocument/2006/relationships/image" Target="../media/image18.svg"/><Relationship Id="rId41" Type="http://schemas.openxmlformats.org/officeDocument/2006/relationships/image" Target="../media/image38.png"/><Relationship Id="rId1" Type="http://schemas.openxmlformats.org/officeDocument/2006/relationships/chart" Target="../charts/chart1.xml"/><Relationship Id="rId6"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153276</xdr:rowOff>
    </xdr:from>
    <xdr:ext cx="829936" cy="1302845"/>
    <xdr:pic>
      <xdr:nvPicPr>
        <xdr:cNvPr id="2" name="Afbeelding 3">
          <a:extLst>
            <a:ext uri="{FF2B5EF4-FFF2-40B4-BE49-F238E27FC236}">
              <a16:creationId xmlns:a16="http://schemas.microsoft.com/office/drawing/2014/main" id="{B151C7B7-B524-A548-900F-266D78F2CF3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822"/>
        <a:stretch/>
      </xdr:blipFill>
      <xdr:spPr>
        <a:xfrm>
          <a:off x="0" y="153276"/>
          <a:ext cx="829936" cy="1302845"/>
        </a:xfrm>
        <a:prstGeom prst="rect">
          <a:avLst/>
        </a:prstGeom>
      </xdr:spPr>
    </xdr:pic>
    <xdr:clientData/>
  </xdr:oneCellAnchor>
  <xdr:oneCellAnchor>
    <xdr:from>
      <xdr:col>4</xdr:col>
      <xdr:colOff>153276</xdr:colOff>
      <xdr:row>1</xdr:row>
      <xdr:rowOff>65689</xdr:rowOff>
    </xdr:from>
    <xdr:ext cx="2002564" cy="525517"/>
    <xdr:pic>
      <xdr:nvPicPr>
        <xdr:cNvPr id="3" name="Afbeelding 2">
          <a:extLst>
            <a:ext uri="{FF2B5EF4-FFF2-40B4-BE49-F238E27FC236}">
              <a16:creationId xmlns:a16="http://schemas.microsoft.com/office/drawing/2014/main" id="{D0903631-2B6B-D948-B162-6BB461007C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5276" y="268889"/>
          <a:ext cx="2002564" cy="525517"/>
        </a:xfrm>
        <a:prstGeom prst="rect">
          <a:avLst/>
        </a:prstGeom>
      </xdr:spPr>
    </xdr:pic>
    <xdr:clientData/>
  </xdr:oneCellAnchor>
  <xdr:oneCellAnchor>
    <xdr:from>
      <xdr:col>3</xdr:col>
      <xdr:colOff>5356334</xdr:colOff>
      <xdr:row>21</xdr:row>
      <xdr:rowOff>90214</xdr:rowOff>
    </xdr:from>
    <xdr:ext cx="65" cy="172098"/>
    <xdr:sp macro="" textlink="">
      <xdr:nvSpPr>
        <xdr:cNvPr id="4" name="Tekstvak 3">
          <a:extLst>
            <a:ext uri="{FF2B5EF4-FFF2-40B4-BE49-F238E27FC236}">
              <a16:creationId xmlns:a16="http://schemas.microsoft.com/office/drawing/2014/main" id="{534195BE-243D-788D-E8E8-6F1DF0CD484D}"/>
            </a:ext>
          </a:extLst>
        </xdr:cNvPr>
        <xdr:cNvSpPr txBox="1"/>
      </xdr:nvSpPr>
      <xdr:spPr>
        <a:xfrm>
          <a:off x="9910817" y="4075386"/>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oneCellAnchor>
    <xdr:from>
      <xdr:col>3</xdr:col>
      <xdr:colOff>5356334</xdr:colOff>
      <xdr:row>22</xdr:row>
      <xdr:rowOff>90214</xdr:rowOff>
    </xdr:from>
    <xdr:ext cx="65" cy="172098"/>
    <xdr:sp macro="" textlink="">
      <xdr:nvSpPr>
        <xdr:cNvPr id="5" name="Tekstvak 4">
          <a:extLst>
            <a:ext uri="{FF2B5EF4-FFF2-40B4-BE49-F238E27FC236}">
              <a16:creationId xmlns:a16="http://schemas.microsoft.com/office/drawing/2014/main" id="{39D693E5-A9D4-084B-B0A3-74B02DC0A503}"/>
            </a:ext>
          </a:extLst>
        </xdr:cNvPr>
        <xdr:cNvSpPr txBox="1"/>
      </xdr:nvSpPr>
      <xdr:spPr>
        <a:xfrm>
          <a:off x="9910817" y="411918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oneCellAnchor>
    <xdr:from>
      <xdr:col>3</xdr:col>
      <xdr:colOff>5356334</xdr:colOff>
      <xdr:row>23</xdr:row>
      <xdr:rowOff>90214</xdr:rowOff>
    </xdr:from>
    <xdr:ext cx="65" cy="172098"/>
    <xdr:sp macro="" textlink="">
      <xdr:nvSpPr>
        <xdr:cNvPr id="6" name="Tekstvak 5">
          <a:extLst>
            <a:ext uri="{FF2B5EF4-FFF2-40B4-BE49-F238E27FC236}">
              <a16:creationId xmlns:a16="http://schemas.microsoft.com/office/drawing/2014/main" id="{C97075CC-7FA5-A34D-9CE9-BD7F8FE0CB21}"/>
            </a:ext>
          </a:extLst>
        </xdr:cNvPr>
        <xdr:cNvSpPr txBox="1"/>
      </xdr:nvSpPr>
      <xdr:spPr>
        <a:xfrm>
          <a:off x="9910817" y="411918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oneCellAnchor>
    <xdr:from>
      <xdr:col>3</xdr:col>
      <xdr:colOff>5356334</xdr:colOff>
      <xdr:row>20</xdr:row>
      <xdr:rowOff>90214</xdr:rowOff>
    </xdr:from>
    <xdr:ext cx="65" cy="172098"/>
    <xdr:sp macro="" textlink="">
      <xdr:nvSpPr>
        <xdr:cNvPr id="7" name="Tekstvak 6">
          <a:extLst>
            <a:ext uri="{FF2B5EF4-FFF2-40B4-BE49-F238E27FC236}">
              <a16:creationId xmlns:a16="http://schemas.microsoft.com/office/drawing/2014/main" id="{7D0E87A4-F9BE-2A4A-A304-D7BCEBEF6C1C}"/>
            </a:ext>
          </a:extLst>
        </xdr:cNvPr>
        <xdr:cNvSpPr txBox="1"/>
      </xdr:nvSpPr>
      <xdr:spPr>
        <a:xfrm>
          <a:off x="9910817" y="4141076"/>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oneCellAnchor>
    <xdr:from>
      <xdr:col>3</xdr:col>
      <xdr:colOff>5356334</xdr:colOff>
      <xdr:row>21</xdr:row>
      <xdr:rowOff>90214</xdr:rowOff>
    </xdr:from>
    <xdr:ext cx="65" cy="172098"/>
    <xdr:sp macro="" textlink="">
      <xdr:nvSpPr>
        <xdr:cNvPr id="8" name="Tekstvak 7">
          <a:extLst>
            <a:ext uri="{FF2B5EF4-FFF2-40B4-BE49-F238E27FC236}">
              <a16:creationId xmlns:a16="http://schemas.microsoft.com/office/drawing/2014/main" id="{410FAA77-9EE5-FA48-990E-AD137E9D47F5}"/>
            </a:ext>
          </a:extLst>
        </xdr:cNvPr>
        <xdr:cNvSpPr txBox="1"/>
      </xdr:nvSpPr>
      <xdr:spPr>
        <a:xfrm>
          <a:off x="9910817" y="4349093"/>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70408</xdr:colOff>
      <xdr:row>3</xdr:row>
      <xdr:rowOff>34313</xdr:rowOff>
    </xdr:from>
    <xdr:ext cx="7678994" cy="4951212"/>
    <xdr:pic>
      <xdr:nvPicPr>
        <xdr:cNvPr id="2" name="Afbeelding 2">
          <a:extLst>
            <a:ext uri="{FF2B5EF4-FFF2-40B4-BE49-F238E27FC236}">
              <a16:creationId xmlns:a16="http://schemas.microsoft.com/office/drawing/2014/main" id="{4C5A4C0A-8CCA-4F48-ACAD-DD38FC0BDA4C}"/>
            </a:ext>
          </a:extLst>
        </xdr:cNvPr>
        <xdr:cNvPicPr>
          <a:picLocks noChangeAspect="1"/>
        </xdr:cNvPicPr>
      </xdr:nvPicPr>
      <xdr:blipFill>
        <a:blip xmlns:r="http://schemas.openxmlformats.org/officeDocument/2006/relationships" r:embed="rId1"/>
        <a:stretch>
          <a:fillRect/>
        </a:stretch>
      </xdr:blipFill>
      <xdr:spPr>
        <a:xfrm>
          <a:off x="11686675" y="711646"/>
          <a:ext cx="7678994" cy="4951212"/>
        </a:xfrm>
        <a:prstGeom prst="rect">
          <a:avLst/>
        </a:prstGeom>
      </xdr:spPr>
    </xdr:pic>
    <xdr:clientData/>
  </xdr:oneCellAnchor>
  <xdr:twoCellAnchor editAs="oneCell">
    <xdr:from>
      <xdr:col>1</xdr:col>
      <xdr:colOff>230909</xdr:colOff>
      <xdr:row>5</xdr:row>
      <xdr:rowOff>101021</xdr:rowOff>
    </xdr:from>
    <xdr:to>
      <xdr:col>10</xdr:col>
      <xdr:colOff>460207</xdr:colOff>
      <xdr:row>20</xdr:row>
      <xdr:rowOff>115455</xdr:rowOff>
    </xdr:to>
    <xdr:pic>
      <xdr:nvPicPr>
        <xdr:cNvPr id="3" name="Afbeelding 2">
          <a:extLst>
            <a:ext uri="{FF2B5EF4-FFF2-40B4-BE49-F238E27FC236}">
              <a16:creationId xmlns:a16="http://schemas.microsoft.com/office/drawing/2014/main" id="{0F955A90-273D-8E46-A76B-1054D6CE301E}"/>
            </a:ext>
          </a:extLst>
        </xdr:cNvPr>
        <xdr:cNvPicPr>
          <a:picLocks noChangeAspect="1"/>
        </xdr:cNvPicPr>
      </xdr:nvPicPr>
      <xdr:blipFill>
        <a:blip xmlns:r="http://schemas.openxmlformats.org/officeDocument/2006/relationships" r:embed="rId2"/>
        <a:stretch>
          <a:fillRect/>
        </a:stretch>
      </xdr:blipFill>
      <xdr:spPr>
        <a:xfrm>
          <a:off x="230909" y="1180521"/>
          <a:ext cx="7658798" cy="30624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2971</xdr:colOff>
      <xdr:row>61</xdr:row>
      <xdr:rowOff>64245</xdr:rowOff>
    </xdr:from>
    <xdr:to>
      <xdr:col>15</xdr:col>
      <xdr:colOff>478599</xdr:colOff>
      <xdr:row>63</xdr:row>
      <xdr:rowOff>53845</xdr:rowOff>
    </xdr:to>
    <xdr:sp macro="" textlink="">
      <xdr:nvSpPr>
        <xdr:cNvPr id="494" name="Afgeronde rechthoek 493">
          <a:extLst>
            <a:ext uri="{FF2B5EF4-FFF2-40B4-BE49-F238E27FC236}">
              <a16:creationId xmlns:a16="http://schemas.microsoft.com/office/drawing/2014/main" id="{2DBF3DF3-9D83-9A4B-8C2E-0CAB6B646929}"/>
            </a:ext>
          </a:extLst>
        </xdr:cNvPr>
        <xdr:cNvSpPr/>
      </xdr:nvSpPr>
      <xdr:spPr>
        <a:xfrm>
          <a:off x="11009638" y="12933578"/>
          <a:ext cx="661894"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solidFill>
              <a:schemeClr val="tx2"/>
            </a:solidFill>
          </a:endParaRPr>
        </a:p>
      </xdr:txBody>
    </xdr:sp>
    <xdr:clientData/>
  </xdr:twoCellAnchor>
  <xdr:twoCellAnchor>
    <xdr:from>
      <xdr:col>4</xdr:col>
      <xdr:colOff>347133</xdr:colOff>
      <xdr:row>61</xdr:row>
      <xdr:rowOff>59267</xdr:rowOff>
    </xdr:from>
    <xdr:to>
      <xdr:col>5</xdr:col>
      <xdr:colOff>165101</xdr:colOff>
      <xdr:row>63</xdr:row>
      <xdr:rowOff>48867</xdr:rowOff>
    </xdr:to>
    <xdr:sp macro="" textlink="">
      <xdr:nvSpPr>
        <xdr:cNvPr id="489" name="Afgeronde rechthoek 488">
          <a:extLst>
            <a:ext uri="{FF2B5EF4-FFF2-40B4-BE49-F238E27FC236}">
              <a16:creationId xmlns:a16="http://schemas.microsoft.com/office/drawing/2014/main" id="{FFED29A0-9F7B-B342-AB3E-AF06E5D90B2D}"/>
            </a:ext>
          </a:extLst>
        </xdr:cNvPr>
        <xdr:cNvSpPr/>
      </xdr:nvSpPr>
      <xdr:spPr>
        <a:xfrm>
          <a:off x="3615266" y="12928600"/>
          <a:ext cx="664635"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4</xdr:col>
      <xdr:colOff>330199</xdr:colOff>
      <xdr:row>38</xdr:row>
      <xdr:rowOff>173566</xdr:rowOff>
    </xdr:from>
    <xdr:to>
      <xdr:col>5</xdr:col>
      <xdr:colOff>148167</xdr:colOff>
      <xdr:row>40</xdr:row>
      <xdr:rowOff>163166</xdr:rowOff>
    </xdr:to>
    <xdr:sp macro="" textlink="">
      <xdr:nvSpPr>
        <xdr:cNvPr id="488" name="Afgeronde rechthoek 487">
          <a:extLst>
            <a:ext uri="{FF2B5EF4-FFF2-40B4-BE49-F238E27FC236}">
              <a16:creationId xmlns:a16="http://schemas.microsoft.com/office/drawing/2014/main" id="{CA6BE577-74A0-124A-8965-E7220AE06727}"/>
            </a:ext>
          </a:extLst>
        </xdr:cNvPr>
        <xdr:cNvSpPr/>
      </xdr:nvSpPr>
      <xdr:spPr>
        <a:xfrm>
          <a:off x="3598332" y="8386233"/>
          <a:ext cx="664635"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9</xdr:col>
      <xdr:colOff>731613</xdr:colOff>
      <xdr:row>59</xdr:row>
      <xdr:rowOff>107327</xdr:rowOff>
    </xdr:from>
    <xdr:to>
      <xdr:col>10</xdr:col>
      <xdr:colOff>618062</xdr:colOff>
      <xdr:row>61</xdr:row>
      <xdr:rowOff>96927</xdr:rowOff>
    </xdr:to>
    <xdr:sp macro="" textlink="">
      <xdr:nvSpPr>
        <xdr:cNvPr id="485" name="Afgeronde rechthoek 484">
          <a:extLst>
            <a:ext uri="{FF2B5EF4-FFF2-40B4-BE49-F238E27FC236}">
              <a16:creationId xmlns:a16="http://schemas.microsoft.com/office/drawing/2014/main" id="{9D6222C8-7AE0-1947-88D8-D4355FA933D8}"/>
            </a:ext>
          </a:extLst>
        </xdr:cNvPr>
        <xdr:cNvSpPr/>
      </xdr:nvSpPr>
      <xdr:spPr>
        <a:xfrm>
          <a:off x="7521880" y="12570260"/>
          <a:ext cx="716182"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22</xdr:col>
      <xdr:colOff>628434</xdr:colOff>
      <xdr:row>37</xdr:row>
      <xdr:rowOff>83076</xdr:rowOff>
    </xdr:from>
    <xdr:to>
      <xdr:col>23</xdr:col>
      <xdr:colOff>510897</xdr:colOff>
      <xdr:row>39</xdr:row>
      <xdr:rowOff>72676</xdr:rowOff>
    </xdr:to>
    <xdr:sp macro="" textlink="Percentage_woningen_van_gas_af">
      <xdr:nvSpPr>
        <xdr:cNvPr id="484" name="Afgeronde rechthoek 483">
          <a:extLst>
            <a:ext uri="{FF2B5EF4-FFF2-40B4-BE49-F238E27FC236}">
              <a16:creationId xmlns:a16="http://schemas.microsoft.com/office/drawing/2014/main" id="{E03C8411-8317-7240-A64C-BD014AB03D4F}"/>
            </a:ext>
          </a:extLst>
        </xdr:cNvPr>
        <xdr:cNvSpPr/>
      </xdr:nvSpPr>
      <xdr:spPr>
        <a:xfrm>
          <a:off x="17206167" y="8092543"/>
          <a:ext cx="712197"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8C88244E-B9C8-344F-984E-855276B4EF90}" type="TxLink">
            <a:rPr lang="en-US" sz="1600" b="1" i="0" u="none" strike="noStrike" kern="1200">
              <a:solidFill>
                <a:srgbClr val="101315"/>
              </a:solidFill>
              <a:latin typeface="Calibri"/>
              <a:cs typeface="Calibri"/>
            </a:rPr>
            <a:pPr algn="ctr"/>
            <a:t>1%</a:t>
          </a:fld>
          <a:endParaRPr lang="nl-NL" sz="1400" b="1" kern="1200"/>
        </a:p>
      </xdr:txBody>
    </xdr:sp>
    <xdr:clientData/>
  </xdr:twoCellAnchor>
  <xdr:twoCellAnchor>
    <xdr:from>
      <xdr:col>17</xdr:col>
      <xdr:colOff>231090</xdr:colOff>
      <xdr:row>37</xdr:row>
      <xdr:rowOff>43335</xdr:rowOff>
    </xdr:from>
    <xdr:to>
      <xdr:col>18</xdr:col>
      <xdr:colOff>49805</xdr:colOff>
      <xdr:row>39</xdr:row>
      <xdr:rowOff>32935</xdr:rowOff>
    </xdr:to>
    <xdr:sp macro="" textlink="">
      <xdr:nvSpPr>
        <xdr:cNvPr id="479" name="Afgeronde rechthoek 478">
          <a:extLst>
            <a:ext uri="{FF2B5EF4-FFF2-40B4-BE49-F238E27FC236}">
              <a16:creationId xmlns:a16="http://schemas.microsoft.com/office/drawing/2014/main" id="{110E545D-0B75-E096-C5A1-56E1112D12BA}"/>
            </a:ext>
          </a:extLst>
        </xdr:cNvPr>
        <xdr:cNvSpPr/>
      </xdr:nvSpPr>
      <xdr:spPr>
        <a:xfrm>
          <a:off x="13218957" y="8052802"/>
          <a:ext cx="716181"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21</xdr:col>
      <xdr:colOff>366025</xdr:colOff>
      <xdr:row>8</xdr:row>
      <xdr:rowOff>169333</xdr:rowOff>
    </xdr:from>
    <xdr:to>
      <xdr:col>22</xdr:col>
      <xdr:colOff>241300</xdr:colOff>
      <xdr:row>19</xdr:row>
      <xdr:rowOff>25401</xdr:rowOff>
    </xdr:to>
    <xdr:sp macro="" textlink="">
      <xdr:nvSpPr>
        <xdr:cNvPr id="476" name="Vrije vorm 475">
          <a:extLst>
            <a:ext uri="{FF2B5EF4-FFF2-40B4-BE49-F238E27FC236}">
              <a16:creationId xmlns:a16="http://schemas.microsoft.com/office/drawing/2014/main" id="{77A04DC2-6534-EBFA-9508-944CCE5080F1}"/>
            </a:ext>
          </a:extLst>
        </xdr:cNvPr>
        <xdr:cNvSpPr/>
      </xdr:nvSpPr>
      <xdr:spPr>
        <a:xfrm>
          <a:off x="15580625" y="2175933"/>
          <a:ext cx="700775" cy="2091268"/>
        </a:xfrm>
        <a:custGeom>
          <a:avLst/>
          <a:gdLst>
            <a:gd name="connsiteX0" fmla="*/ 123241 w 1096236"/>
            <a:gd name="connsiteY0" fmla="*/ 0 h 3843550"/>
            <a:gd name="connsiteX1" fmla="*/ 966289 w 1096236"/>
            <a:gd name="connsiteY1" fmla="*/ 0 h 3843550"/>
            <a:gd name="connsiteX2" fmla="*/ 966289 w 1096236"/>
            <a:gd name="connsiteY2" fmla="*/ 2949893 h 3843550"/>
            <a:gd name="connsiteX3" fmla="*/ 1002626 w 1096236"/>
            <a:gd name="connsiteY3" fmla="*/ 2993690 h 3843550"/>
            <a:gd name="connsiteX4" fmla="*/ 1096236 w 1096236"/>
            <a:gd name="connsiteY4" fmla="*/ 3298457 h 3843550"/>
            <a:gd name="connsiteX5" fmla="*/ 548118 w 1096236"/>
            <a:gd name="connsiteY5" fmla="*/ 3843550 h 3843550"/>
            <a:gd name="connsiteX6" fmla="*/ 0 w 1096236"/>
            <a:gd name="connsiteY6" fmla="*/ 3298457 h 3843550"/>
            <a:gd name="connsiteX7" fmla="*/ 93610 w 1096236"/>
            <a:gd name="connsiteY7" fmla="*/ 2993690 h 3843550"/>
            <a:gd name="connsiteX8" fmla="*/ 129012 w 1096236"/>
            <a:gd name="connsiteY8" fmla="*/ 2951019 h 3843550"/>
            <a:gd name="connsiteX9" fmla="*/ 123241 w 1096236"/>
            <a:gd name="connsiteY9" fmla="*/ 2951019 h 3843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096236" h="3843550">
              <a:moveTo>
                <a:pt x="123241" y="0"/>
              </a:moveTo>
              <a:lnTo>
                <a:pt x="966289" y="0"/>
              </a:lnTo>
              <a:lnTo>
                <a:pt x="966289" y="2949893"/>
              </a:lnTo>
              <a:lnTo>
                <a:pt x="1002626" y="2993690"/>
              </a:lnTo>
              <a:cubicBezTo>
                <a:pt x="1061727" y="3080688"/>
                <a:pt x="1096236" y="3185565"/>
                <a:pt x="1096236" y="3298457"/>
              </a:cubicBezTo>
              <a:cubicBezTo>
                <a:pt x="1096236" y="3599504"/>
                <a:pt x="850835" y="3843550"/>
                <a:pt x="548118" y="3843550"/>
              </a:cubicBezTo>
              <a:cubicBezTo>
                <a:pt x="245401" y="3843550"/>
                <a:pt x="0" y="3599504"/>
                <a:pt x="0" y="3298457"/>
              </a:cubicBezTo>
              <a:cubicBezTo>
                <a:pt x="0" y="3185565"/>
                <a:pt x="34510" y="3080688"/>
                <a:pt x="93610" y="2993690"/>
              </a:cubicBezTo>
              <a:lnTo>
                <a:pt x="129012" y="2951019"/>
              </a:lnTo>
              <a:lnTo>
                <a:pt x="123241" y="2951019"/>
              </a:lnTo>
              <a:close/>
            </a:path>
          </a:pathLst>
        </a:custGeom>
        <a:solidFill>
          <a:schemeClr val="bg1"/>
        </a:solidFill>
      </xdr:spPr>
      <xdr:style>
        <a:lnRef idx="2">
          <a:schemeClr val="dk1"/>
        </a:lnRef>
        <a:fillRef idx="1">
          <a:schemeClr val="lt1"/>
        </a:fillRef>
        <a:effectRef idx="0">
          <a:schemeClr val="dk1"/>
        </a:effectRef>
        <a:fontRef idx="minor">
          <a:schemeClr val="dk1"/>
        </a:fontRef>
      </xdr:style>
      <xdr:txBody>
        <a:bodyPr wrap="square" rtlCol="0" anchor="ctr">
          <a:noAutofit/>
        </a:bodyPr>
        <a:lstStyle>
          <a:defPPr>
            <a:defRPr lang="nl-NL"/>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endParaRPr lang="nl-NL"/>
        </a:p>
      </xdr:txBody>
    </xdr:sp>
    <xdr:clientData/>
  </xdr:twoCellAnchor>
  <xdr:twoCellAnchor>
    <xdr:from>
      <xdr:col>3</xdr:col>
      <xdr:colOff>697858</xdr:colOff>
      <xdr:row>8</xdr:row>
      <xdr:rowOff>145736</xdr:rowOff>
    </xdr:from>
    <xdr:to>
      <xdr:col>9</xdr:col>
      <xdr:colOff>442831</xdr:colOff>
      <xdr:row>19</xdr:row>
      <xdr:rowOff>133554</xdr:rowOff>
    </xdr:to>
    <xdr:graphicFrame macro="">
      <xdr:nvGraphicFramePr>
        <xdr:cNvPr id="2" name="Grafiek 1">
          <a:extLst>
            <a:ext uri="{FF2B5EF4-FFF2-40B4-BE49-F238E27FC236}">
              <a16:creationId xmlns:a16="http://schemas.microsoft.com/office/drawing/2014/main" id="{26364732-5F91-8C41-A3AB-7034115934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491571</xdr:colOff>
      <xdr:row>8</xdr:row>
      <xdr:rowOff>30508</xdr:rowOff>
    </xdr:from>
    <xdr:to>
      <xdr:col>23</xdr:col>
      <xdr:colOff>618533</xdr:colOff>
      <xdr:row>19</xdr:row>
      <xdr:rowOff>169332</xdr:rowOff>
    </xdr:to>
    <xdr:graphicFrame macro="">
      <xdr:nvGraphicFramePr>
        <xdr:cNvPr id="593" name="Grafiek 14">
          <a:extLst>
            <a:ext uri="{FF2B5EF4-FFF2-40B4-BE49-F238E27FC236}">
              <a16:creationId xmlns:a16="http://schemas.microsoft.com/office/drawing/2014/main" id="{9B080D11-0F40-4148-A447-F7151795E5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590244</xdr:colOff>
      <xdr:row>29</xdr:row>
      <xdr:rowOff>73921</xdr:rowOff>
    </xdr:from>
    <xdr:to>
      <xdr:col>5</xdr:col>
      <xdr:colOff>737705</xdr:colOff>
      <xdr:row>37</xdr:row>
      <xdr:rowOff>175670</xdr:rowOff>
    </xdr:to>
    <xdr:graphicFrame macro="">
      <xdr:nvGraphicFramePr>
        <xdr:cNvPr id="627" name="Grafiek 16">
          <a:extLst>
            <a:ext uri="{FF2B5EF4-FFF2-40B4-BE49-F238E27FC236}">
              <a16:creationId xmlns:a16="http://schemas.microsoft.com/office/drawing/2014/main" id="{1D284824-3C4F-1242-A210-93A5DE378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95525</xdr:colOff>
      <xdr:row>39</xdr:row>
      <xdr:rowOff>8590</xdr:rowOff>
    </xdr:from>
    <xdr:to>
      <xdr:col>5</xdr:col>
      <xdr:colOff>390681</xdr:colOff>
      <xdr:row>40</xdr:row>
      <xdr:rowOff>127963</xdr:rowOff>
    </xdr:to>
    <xdr:sp macro="" textlink="GO_procentuele_afname">
      <xdr:nvSpPr>
        <xdr:cNvPr id="350" name="Rechthoek 18">
          <a:extLst>
            <a:ext uri="{FF2B5EF4-FFF2-40B4-BE49-F238E27FC236}">
              <a16:creationId xmlns:a16="http://schemas.microsoft.com/office/drawing/2014/main" id="{7E023989-81CA-2F7E-FFD2-537D5B1EA180}"/>
            </a:ext>
          </a:extLst>
        </xdr:cNvPr>
        <xdr:cNvSpPr/>
      </xdr:nvSpPr>
      <xdr:spPr>
        <a:xfrm>
          <a:off x="2902225" y="8314390"/>
          <a:ext cx="1133356" cy="3225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F53E8A50-6459-1F45-A016-697A1E16DB16}" type="TxLink">
            <a:rPr lang="en-US" sz="1600" b="1" i="0" u="none" strike="noStrike" kern="1200">
              <a:solidFill>
                <a:schemeClr val="tx2"/>
              </a:solidFill>
              <a:latin typeface="Calibri"/>
              <a:cs typeface="Calibri"/>
            </a:rPr>
            <a:pPr algn="ctr"/>
            <a:t>-12%</a:t>
          </a:fld>
          <a:endParaRPr lang="nl-NL" sz="1400" b="1" i="0" kern="1200">
            <a:solidFill>
              <a:schemeClr val="tx2"/>
            </a:solidFill>
          </a:endParaRPr>
        </a:p>
      </xdr:txBody>
    </xdr:sp>
    <xdr:clientData/>
  </xdr:twoCellAnchor>
  <xdr:twoCellAnchor>
    <xdr:from>
      <xdr:col>4</xdr:col>
      <xdr:colOff>149672</xdr:colOff>
      <xdr:row>39</xdr:row>
      <xdr:rowOff>121543</xdr:rowOff>
    </xdr:from>
    <xdr:to>
      <xdr:col>5</xdr:col>
      <xdr:colOff>372534</xdr:colOff>
      <xdr:row>44</xdr:row>
      <xdr:rowOff>127001</xdr:rowOff>
    </xdr:to>
    <xdr:sp macro="" textlink="">
      <xdr:nvSpPr>
        <xdr:cNvPr id="347" name="Rechthoek 19">
          <a:extLst>
            <a:ext uri="{FF2B5EF4-FFF2-40B4-BE49-F238E27FC236}">
              <a16:creationId xmlns:a16="http://schemas.microsoft.com/office/drawing/2014/main" id="{829FE341-F540-594A-37B5-79AB8AADF4DB}"/>
            </a:ext>
          </a:extLst>
        </xdr:cNvPr>
        <xdr:cNvSpPr/>
      </xdr:nvSpPr>
      <xdr:spPr>
        <a:xfrm>
          <a:off x="2965759" y="9108173"/>
          <a:ext cx="1064927" cy="62665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b="1" kern="1200">
              <a:solidFill>
                <a:schemeClr val="tx2"/>
              </a:solidFill>
            </a:rPr>
            <a:t>t.o.v.</a:t>
          </a:r>
          <a:r>
            <a:rPr lang="nl-NL" sz="1400" b="1" kern="1200" baseline="0">
              <a:solidFill>
                <a:schemeClr val="tx2"/>
              </a:solidFill>
            </a:rPr>
            <a:t> 2019</a:t>
          </a:r>
          <a:endParaRPr lang="nl-NL" sz="1400" b="1" kern="1200">
            <a:solidFill>
              <a:schemeClr val="tx2"/>
            </a:solidFill>
          </a:endParaRPr>
        </a:p>
      </xdr:txBody>
    </xdr:sp>
    <xdr:clientData/>
  </xdr:twoCellAnchor>
  <xdr:twoCellAnchor>
    <xdr:from>
      <xdr:col>6</xdr:col>
      <xdr:colOff>533942</xdr:colOff>
      <xdr:row>29</xdr:row>
      <xdr:rowOff>131684</xdr:rowOff>
    </xdr:from>
    <xdr:to>
      <xdr:col>11</xdr:col>
      <xdr:colOff>442577</xdr:colOff>
      <xdr:row>45</xdr:row>
      <xdr:rowOff>23860</xdr:rowOff>
    </xdr:to>
    <xdr:graphicFrame macro="">
      <xdr:nvGraphicFramePr>
        <xdr:cNvPr id="509" name="Grafiek 23">
          <a:extLst>
            <a:ext uri="{FF2B5EF4-FFF2-40B4-BE49-F238E27FC236}">
              <a16:creationId xmlns:a16="http://schemas.microsoft.com/office/drawing/2014/main" id="{98FDC314-9009-4652-549B-91D0196E9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611532</xdr:colOff>
      <xdr:row>51</xdr:row>
      <xdr:rowOff>144932</xdr:rowOff>
    </xdr:from>
    <xdr:to>
      <xdr:col>5</xdr:col>
      <xdr:colOff>767469</xdr:colOff>
      <xdr:row>61</xdr:row>
      <xdr:rowOff>99299</xdr:rowOff>
    </xdr:to>
    <xdr:graphicFrame macro="">
      <xdr:nvGraphicFramePr>
        <xdr:cNvPr id="631" name="Grafiek 20">
          <a:extLst>
            <a:ext uri="{FF2B5EF4-FFF2-40B4-BE49-F238E27FC236}">
              <a16:creationId xmlns:a16="http://schemas.microsoft.com/office/drawing/2014/main" id="{A6463442-FC19-114B-E892-4BFFC1F366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41785</xdr:colOff>
      <xdr:row>61</xdr:row>
      <xdr:rowOff>55686</xdr:rowOff>
    </xdr:from>
    <xdr:to>
      <xdr:col>5</xdr:col>
      <xdr:colOff>520094</xdr:colOff>
      <xdr:row>63</xdr:row>
      <xdr:rowOff>102169</xdr:rowOff>
    </xdr:to>
    <xdr:sp macro="" textlink="VeV_procentuele_afname">
      <xdr:nvSpPr>
        <xdr:cNvPr id="367" name="Rechthoek 24">
          <a:extLst>
            <a:ext uri="{FF2B5EF4-FFF2-40B4-BE49-F238E27FC236}">
              <a16:creationId xmlns:a16="http://schemas.microsoft.com/office/drawing/2014/main" id="{BAD8A622-2F14-C64D-BA49-4471EBBB930A}"/>
            </a:ext>
          </a:extLst>
        </xdr:cNvPr>
        <xdr:cNvSpPr/>
      </xdr:nvSpPr>
      <xdr:spPr>
        <a:xfrm>
          <a:off x="3309918" y="12925019"/>
          <a:ext cx="1324976" cy="4528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6404326A-C553-8848-A9A6-9FA8EDF299B8}" type="TxLink">
            <a:rPr lang="en-US" sz="1600" b="1" i="0" u="none" strike="noStrike" kern="1200">
              <a:solidFill>
                <a:schemeClr val="tx2"/>
              </a:solidFill>
              <a:latin typeface="Calibri"/>
              <a:cs typeface="Calibri"/>
            </a:rPr>
            <a:pPr algn="ctr"/>
            <a:t>-15%</a:t>
          </a:fld>
          <a:endParaRPr lang="nl-NL" sz="2400" b="1" i="0" kern="1200">
            <a:solidFill>
              <a:schemeClr val="tx2"/>
            </a:solidFill>
          </a:endParaRPr>
        </a:p>
      </xdr:txBody>
    </xdr:sp>
    <xdr:clientData/>
  </xdr:twoCellAnchor>
  <xdr:twoCellAnchor>
    <xdr:from>
      <xdr:col>13</xdr:col>
      <xdr:colOff>832862</xdr:colOff>
      <xdr:row>61</xdr:row>
      <xdr:rowOff>95495</xdr:rowOff>
    </xdr:from>
    <xdr:to>
      <xdr:col>15</xdr:col>
      <xdr:colOff>549538</xdr:colOff>
      <xdr:row>63</xdr:row>
      <xdr:rowOff>54309</xdr:rowOff>
    </xdr:to>
    <xdr:sp macro="" textlink="I_procentuele_afname">
      <xdr:nvSpPr>
        <xdr:cNvPr id="595" name="Rechthoek 26">
          <a:extLst>
            <a:ext uri="{FF2B5EF4-FFF2-40B4-BE49-F238E27FC236}">
              <a16:creationId xmlns:a16="http://schemas.microsoft.com/office/drawing/2014/main" id="{F55AE0A4-5D50-D240-BF5E-C25628A76E5E}"/>
            </a:ext>
          </a:extLst>
        </xdr:cNvPr>
        <xdr:cNvSpPr/>
      </xdr:nvSpPr>
      <xdr:spPr>
        <a:xfrm>
          <a:off x="10958995" y="12964828"/>
          <a:ext cx="783476" cy="3652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024F6774-9CFB-EE42-9BF6-F9DD57741F07}" type="TxLink">
            <a:rPr lang="en-US" sz="1600" b="1" i="0" u="none" strike="noStrike" kern="1200">
              <a:solidFill>
                <a:schemeClr val="tx2"/>
              </a:solidFill>
              <a:latin typeface="Calibri"/>
              <a:cs typeface="Calibri"/>
            </a:rPr>
            <a:pPr algn="ctr"/>
            <a:t>-3%</a:t>
          </a:fld>
          <a:endParaRPr lang="nl-NL" sz="2400" b="1" i="0" kern="1200">
            <a:solidFill>
              <a:schemeClr val="tx2"/>
            </a:solidFill>
          </a:endParaRPr>
        </a:p>
      </xdr:txBody>
    </xdr:sp>
    <xdr:clientData/>
  </xdr:twoCellAnchor>
  <xdr:twoCellAnchor>
    <xdr:from>
      <xdr:col>3</xdr:col>
      <xdr:colOff>0</xdr:colOff>
      <xdr:row>3</xdr:row>
      <xdr:rowOff>152400</xdr:rowOff>
    </xdr:from>
    <xdr:to>
      <xdr:col>23</xdr:col>
      <xdr:colOff>862346</xdr:colOff>
      <xdr:row>5</xdr:row>
      <xdr:rowOff>151545</xdr:rowOff>
    </xdr:to>
    <xdr:sp macro="" textlink="">
      <xdr:nvSpPr>
        <xdr:cNvPr id="5" name="Afgeronde rechthoek 4">
          <a:extLst>
            <a:ext uri="{FF2B5EF4-FFF2-40B4-BE49-F238E27FC236}">
              <a16:creationId xmlns:a16="http://schemas.microsoft.com/office/drawing/2014/main" id="{97FCDA23-F517-ADE0-3C06-1A2651508828}"/>
            </a:ext>
          </a:extLst>
        </xdr:cNvPr>
        <xdr:cNvSpPr/>
      </xdr:nvSpPr>
      <xdr:spPr>
        <a:xfrm>
          <a:off x="1975556" y="1140178"/>
          <a:ext cx="15804444" cy="406799"/>
        </a:xfrm>
        <a:prstGeom prst="round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kern="1200"/>
            <a:t>CO</a:t>
          </a:r>
          <a:r>
            <a:rPr lang="nl-NL" sz="1600" b="1" kern="1200"/>
            <a:t>2</a:t>
          </a:r>
          <a:r>
            <a:rPr lang="nl-NL" sz="2400" b="1" kern="1200"/>
            <a:t>-UITSTOOT</a:t>
          </a:r>
          <a:r>
            <a:rPr lang="nl-NL" sz="2400" b="1" kern="1200" baseline="0"/>
            <a:t> VAN DE GEMEENTE </a:t>
          </a:r>
          <a:endParaRPr lang="nl-NL" sz="2400" b="1" kern="1200"/>
        </a:p>
      </xdr:txBody>
    </xdr:sp>
    <xdr:clientData/>
  </xdr:twoCellAnchor>
  <xdr:twoCellAnchor editAs="oneCell">
    <xdr:from>
      <xdr:col>4</xdr:col>
      <xdr:colOff>594454</xdr:colOff>
      <xdr:row>14</xdr:row>
      <xdr:rowOff>193649</xdr:rowOff>
    </xdr:from>
    <xdr:to>
      <xdr:col>5</xdr:col>
      <xdr:colOff>122497</xdr:colOff>
      <xdr:row>16</xdr:row>
      <xdr:rowOff>172541</xdr:rowOff>
    </xdr:to>
    <xdr:pic>
      <xdr:nvPicPr>
        <xdr:cNvPr id="6" name="Graphic 5" descr="Stad met effen opvulling">
          <a:extLst>
            <a:ext uri="{FF2B5EF4-FFF2-40B4-BE49-F238E27FC236}">
              <a16:creationId xmlns:a16="http://schemas.microsoft.com/office/drawing/2014/main" id="{52DB7CAD-D2DF-274C-A397-FD3C67D9ED5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3410541" y="3465279"/>
          <a:ext cx="370108" cy="393023"/>
        </a:xfrm>
        <a:prstGeom prst="rect">
          <a:avLst/>
        </a:prstGeom>
      </xdr:spPr>
    </xdr:pic>
    <xdr:clientData/>
  </xdr:twoCellAnchor>
  <xdr:twoCellAnchor editAs="oneCell">
    <xdr:from>
      <xdr:col>4</xdr:col>
      <xdr:colOff>596830</xdr:colOff>
      <xdr:row>11</xdr:row>
      <xdr:rowOff>193078</xdr:rowOff>
    </xdr:from>
    <xdr:to>
      <xdr:col>5</xdr:col>
      <xdr:colOff>102244</xdr:colOff>
      <xdr:row>13</xdr:row>
      <xdr:rowOff>140468</xdr:rowOff>
    </xdr:to>
    <xdr:pic>
      <xdr:nvPicPr>
        <xdr:cNvPr id="7" name="Graphic 6" descr="Auto met effen opvulling">
          <a:extLst>
            <a:ext uri="{FF2B5EF4-FFF2-40B4-BE49-F238E27FC236}">
              <a16:creationId xmlns:a16="http://schemas.microsoft.com/office/drawing/2014/main" id="{876E3E56-9580-CA4B-9C3E-1A675C266AA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3412917" y="2843513"/>
          <a:ext cx="347479" cy="361520"/>
        </a:xfrm>
        <a:prstGeom prst="rect">
          <a:avLst/>
        </a:prstGeom>
      </xdr:spPr>
    </xdr:pic>
    <xdr:clientData/>
  </xdr:twoCellAnchor>
  <xdr:twoCellAnchor editAs="oneCell">
    <xdr:from>
      <xdr:col>4</xdr:col>
      <xdr:colOff>560796</xdr:colOff>
      <xdr:row>9</xdr:row>
      <xdr:rowOff>115847</xdr:rowOff>
    </xdr:from>
    <xdr:to>
      <xdr:col>5</xdr:col>
      <xdr:colOff>58067</xdr:colOff>
      <xdr:row>11</xdr:row>
      <xdr:rowOff>78125</xdr:rowOff>
    </xdr:to>
    <xdr:pic>
      <xdr:nvPicPr>
        <xdr:cNvPr id="8" name="Graphic 7" descr="Fabriek met effen opvulling">
          <a:extLst>
            <a:ext uri="{FF2B5EF4-FFF2-40B4-BE49-F238E27FC236}">
              <a16:creationId xmlns:a16="http://schemas.microsoft.com/office/drawing/2014/main" id="{D9EBAE77-26A9-B447-8440-FBED51EBD55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r:embed="rId11"/>
            </a:ext>
          </a:extLst>
        </a:blip>
        <a:stretch>
          <a:fillRect/>
        </a:stretch>
      </xdr:blipFill>
      <xdr:spPr>
        <a:xfrm>
          <a:off x="3376883" y="2352151"/>
          <a:ext cx="339336" cy="376409"/>
        </a:xfrm>
        <a:prstGeom prst="rect">
          <a:avLst/>
        </a:prstGeom>
      </xdr:spPr>
    </xdr:pic>
    <xdr:clientData/>
  </xdr:twoCellAnchor>
  <xdr:twoCellAnchor>
    <xdr:from>
      <xdr:col>18</xdr:col>
      <xdr:colOff>524889</xdr:colOff>
      <xdr:row>6</xdr:row>
      <xdr:rowOff>116704</xdr:rowOff>
    </xdr:from>
    <xdr:to>
      <xdr:col>23</xdr:col>
      <xdr:colOff>372517</xdr:colOff>
      <xdr:row>8</xdr:row>
      <xdr:rowOff>70304</xdr:rowOff>
    </xdr:to>
    <xdr:sp macro="" textlink="">
      <xdr:nvSpPr>
        <xdr:cNvPr id="12" name="Afgeronde rechthoek 11">
          <a:extLst>
            <a:ext uri="{FF2B5EF4-FFF2-40B4-BE49-F238E27FC236}">
              <a16:creationId xmlns:a16="http://schemas.microsoft.com/office/drawing/2014/main" id="{A1622EC1-67DC-2748-BD2B-9BD36588B23B}"/>
            </a:ext>
          </a:extLst>
        </xdr:cNvPr>
        <xdr:cNvSpPr/>
      </xdr:nvSpPr>
      <xdr:spPr>
        <a:xfrm>
          <a:off x="13969956" y="1725371"/>
          <a:ext cx="3369761"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Doel 2030: 55% reductie t.o.v.</a:t>
          </a:r>
          <a:r>
            <a:rPr lang="nl-NL" sz="1600" b="1" kern="1200" baseline="0"/>
            <a:t> 2019</a:t>
          </a:r>
          <a:endParaRPr lang="nl-NL" sz="1600" b="1" kern="1200"/>
        </a:p>
      </xdr:txBody>
    </xdr:sp>
    <xdr:clientData/>
  </xdr:twoCellAnchor>
  <xdr:twoCellAnchor>
    <xdr:from>
      <xdr:col>3</xdr:col>
      <xdr:colOff>900</xdr:colOff>
      <xdr:row>22</xdr:row>
      <xdr:rowOff>134987</xdr:rowOff>
    </xdr:from>
    <xdr:to>
      <xdr:col>24</xdr:col>
      <xdr:colOff>16934</xdr:colOff>
      <xdr:row>24</xdr:row>
      <xdr:rowOff>135466</xdr:rowOff>
    </xdr:to>
    <xdr:sp macro="" textlink="">
      <xdr:nvSpPr>
        <xdr:cNvPr id="13" name="Afgeronde rechthoek 12">
          <a:extLst>
            <a:ext uri="{FF2B5EF4-FFF2-40B4-BE49-F238E27FC236}">
              <a16:creationId xmlns:a16="http://schemas.microsoft.com/office/drawing/2014/main" id="{3CC1F34D-9521-8E4F-9B03-93BD0E5AFF06}"/>
            </a:ext>
          </a:extLst>
        </xdr:cNvPr>
        <xdr:cNvSpPr/>
      </xdr:nvSpPr>
      <xdr:spPr>
        <a:xfrm>
          <a:off x="1982100" y="4994854"/>
          <a:ext cx="15882567" cy="406879"/>
        </a:xfrm>
        <a:prstGeom prst="round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kern="1200"/>
            <a:t>GEBOUWDE</a:t>
          </a:r>
          <a:r>
            <a:rPr lang="nl-NL" sz="2400" b="1" kern="1200" baseline="0"/>
            <a:t> OMGEVING</a:t>
          </a:r>
          <a:endParaRPr lang="nl-NL" sz="2400" b="1" kern="1200"/>
        </a:p>
      </xdr:txBody>
    </xdr:sp>
    <xdr:clientData/>
  </xdr:twoCellAnchor>
  <xdr:twoCellAnchor>
    <xdr:from>
      <xdr:col>15</xdr:col>
      <xdr:colOff>389466</xdr:colOff>
      <xdr:row>75</xdr:row>
      <xdr:rowOff>121618</xdr:rowOff>
    </xdr:from>
    <xdr:to>
      <xdr:col>23</xdr:col>
      <xdr:colOff>321733</xdr:colOff>
      <xdr:row>84</xdr:row>
      <xdr:rowOff>162560</xdr:rowOff>
    </xdr:to>
    <xdr:graphicFrame macro="">
      <xdr:nvGraphicFramePr>
        <xdr:cNvPr id="20" name="Grafiek 19">
          <a:extLst>
            <a:ext uri="{FF2B5EF4-FFF2-40B4-BE49-F238E27FC236}">
              <a16:creationId xmlns:a16="http://schemas.microsoft.com/office/drawing/2014/main" id="{24AE01C1-7E2F-7B46-900D-00B3DA94D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733363</xdr:colOff>
      <xdr:row>64</xdr:row>
      <xdr:rowOff>50468</xdr:rowOff>
    </xdr:from>
    <xdr:to>
      <xdr:col>15</xdr:col>
      <xdr:colOff>645205</xdr:colOff>
      <xdr:row>66</xdr:row>
      <xdr:rowOff>52545</xdr:rowOff>
    </xdr:to>
    <xdr:sp macro="" textlink="">
      <xdr:nvSpPr>
        <xdr:cNvPr id="22" name="Rechthoek 19">
          <a:extLst>
            <a:ext uri="{FF2B5EF4-FFF2-40B4-BE49-F238E27FC236}">
              <a16:creationId xmlns:a16="http://schemas.microsoft.com/office/drawing/2014/main" id="{421117F8-0F2D-6E4E-82BD-D7714CB485BB}"/>
            </a:ext>
          </a:extLst>
        </xdr:cNvPr>
        <xdr:cNvSpPr/>
      </xdr:nvSpPr>
      <xdr:spPr>
        <a:xfrm>
          <a:off x="10333069" y="13553556"/>
          <a:ext cx="976401" cy="4129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b="1" kern="1200">
              <a:solidFill>
                <a:schemeClr val="tx2"/>
              </a:solidFill>
            </a:rPr>
            <a:t>t.o.v</a:t>
          </a:r>
          <a:r>
            <a:rPr lang="nl-NL" sz="1400" b="1" kern="1200" baseline="0">
              <a:solidFill>
                <a:schemeClr val="tx2"/>
              </a:solidFill>
            </a:rPr>
            <a:t> 2019</a:t>
          </a:r>
          <a:endParaRPr lang="nl-NL" sz="1400" b="1" kern="1200">
            <a:solidFill>
              <a:schemeClr val="tx2"/>
            </a:solidFill>
          </a:endParaRPr>
        </a:p>
      </xdr:txBody>
    </xdr:sp>
    <xdr:clientData/>
  </xdr:twoCellAnchor>
  <xdr:twoCellAnchor>
    <xdr:from>
      <xdr:col>4</xdr:col>
      <xdr:colOff>173040</xdr:colOff>
      <xdr:row>63</xdr:row>
      <xdr:rowOff>104813</xdr:rowOff>
    </xdr:from>
    <xdr:to>
      <xdr:col>5</xdr:col>
      <xdr:colOff>367358</xdr:colOff>
      <xdr:row>64</xdr:row>
      <xdr:rowOff>160692</xdr:rowOff>
    </xdr:to>
    <xdr:sp macro="" textlink="">
      <xdr:nvSpPr>
        <xdr:cNvPr id="23" name="Rechthoek 19">
          <a:extLst>
            <a:ext uri="{FF2B5EF4-FFF2-40B4-BE49-F238E27FC236}">
              <a16:creationId xmlns:a16="http://schemas.microsoft.com/office/drawing/2014/main" id="{3F182FEC-44E4-4140-A4EF-D2F2BCD9E6C3}"/>
            </a:ext>
          </a:extLst>
        </xdr:cNvPr>
        <xdr:cNvSpPr/>
      </xdr:nvSpPr>
      <xdr:spPr>
        <a:xfrm>
          <a:off x="3000907" y="13278946"/>
          <a:ext cx="1040984" cy="25907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400" b="1" kern="1200">
              <a:solidFill>
                <a:schemeClr val="tx2"/>
              </a:solidFill>
            </a:rPr>
            <a:t>t.o.v.</a:t>
          </a:r>
          <a:r>
            <a:rPr lang="nl-NL" sz="1400" b="1" kern="1200" baseline="0">
              <a:solidFill>
                <a:schemeClr val="tx2"/>
              </a:solidFill>
            </a:rPr>
            <a:t> 2019</a:t>
          </a:r>
          <a:endParaRPr lang="nl-NL" sz="1400" b="1" kern="1200">
            <a:solidFill>
              <a:schemeClr val="tx2"/>
            </a:solidFill>
          </a:endParaRPr>
        </a:p>
      </xdr:txBody>
    </xdr:sp>
    <xdr:clientData/>
  </xdr:twoCellAnchor>
  <xdr:twoCellAnchor>
    <xdr:from>
      <xdr:col>3</xdr:col>
      <xdr:colOff>532580</xdr:colOff>
      <xdr:row>117</xdr:row>
      <xdr:rowOff>81935</xdr:rowOff>
    </xdr:from>
    <xdr:to>
      <xdr:col>5</xdr:col>
      <xdr:colOff>54624</xdr:colOff>
      <xdr:row>120</xdr:row>
      <xdr:rowOff>40967</xdr:rowOff>
    </xdr:to>
    <xdr:sp macro="" textlink="">
      <xdr:nvSpPr>
        <xdr:cNvPr id="25" name="Rechthoek 24">
          <a:extLst>
            <a:ext uri="{FF2B5EF4-FFF2-40B4-BE49-F238E27FC236}">
              <a16:creationId xmlns:a16="http://schemas.microsoft.com/office/drawing/2014/main" id="{C2E49E52-2988-183E-FC2E-4227C32360A2}"/>
            </a:ext>
          </a:extLst>
        </xdr:cNvPr>
        <xdr:cNvSpPr/>
      </xdr:nvSpPr>
      <xdr:spPr>
        <a:xfrm>
          <a:off x="2485376" y="14120215"/>
          <a:ext cx="1160753" cy="57354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nl-NL" sz="1100" kern="1200"/>
        </a:p>
      </xdr:txBody>
    </xdr:sp>
    <xdr:clientData/>
  </xdr:twoCellAnchor>
  <xdr:twoCellAnchor editAs="oneCell">
    <xdr:from>
      <xdr:col>15</xdr:col>
      <xdr:colOff>62764</xdr:colOff>
      <xdr:row>34</xdr:row>
      <xdr:rowOff>16619</xdr:rowOff>
    </xdr:from>
    <xdr:to>
      <xdr:col>16</xdr:col>
      <xdr:colOff>415218</xdr:colOff>
      <xdr:row>40</xdr:row>
      <xdr:rowOff>29136</xdr:rowOff>
    </xdr:to>
    <xdr:pic>
      <xdr:nvPicPr>
        <xdr:cNvPr id="29" name="Graphic 28" descr="Zonnepanelen met effen opvulling">
          <a:extLst>
            <a:ext uri="{FF2B5EF4-FFF2-40B4-BE49-F238E27FC236}">
              <a16:creationId xmlns:a16="http://schemas.microsoft.com/office/drawing/2014/main" id="{9EA82C94-AA97-CED9-15BB-8DB094E0FF68}"/>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10815431" y="7314886"/>
          <a:ext cx="1249921" cy="1231717"/>
        </a:xfrm>
        <a:prstGeom prst="rect">
          <a:avLst/>
        </a:prstGeom>
      </xdr:spPr>
    </xdr:pic>
    <xdr:clientData/>
  </xdr:twoCellAnchor>
  <xdr:twoCellAnchor>
    <xdr:from>
      <xdr:col>15</xdr:col>
      <xdr:colOff>14799</xdr:colOff>
      <xdr:row>29</xdr:row>
      <xdr:rowOff>22438</xdr:rowOff>
    </xdr:from>
    <xdr:to>
      <xdr:col>18</xdr:col>
      <xdr:colOff>483810</xdr:colOff>
      <xdr:row>30</xdr:row>
      <xdr:rowOff>179238</xdr:rowOff>
    </xdr:to>
    <xdr:sp macro="" textlink="">
      <xdr:nvSpPr>
        <xdr:cNvPr id="30" name="Afgeronde rechthoek 29">
          <a:extLst>
            <a:ext uri="{FF2B5EF4-FFF2-40B4-BE49-F238E27FC236}">
              <a16:creationId xmlns:a16="http://schemas.microsoft.com/office/drawing/2014/main" id="{CD8237B8-312A-0B49-840D-E2D40CD0BEC6}"/>
            </a:ext>
          </a:extLst>
        </xdr:cNvPr>
        <xdr:cNvSpPr/>
      </xdr:nvSpPr>
      <xdr:spPr>
        <a:xfrm>
          <a:off x="11207732" y="6406305"/>
          <a:ext cx="3161411"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Woningen met zonnepanelen</a:t>
          </a:r>
        </a:p>
      </xdr:txBody>
    </xdr:sp>
    <xdr:clientData/>
  </xdr:twoCellAnchor>
  <xdr:twoCellAnchor>
    <xdr:from>
      <xdr:col>7</xdr:col>
      <xdr:colOff>256039</xdr:colOff>
      <xdr:row>51</xdr:row>
      <xdr:rowOff>10206</xdr:rowOff>
    </xdr:from>
    <xdr:to>
      <xdr:col>10</xdr:col>
      <xdr:colOff>728383</xdr:colOff>
      <xdr:row>52</xdr:row>
      <xdr:rowOff>167006</xdr:rowOff>
    </xdr:to>
    <xdr:sp macro="" textlink="">
      <xdr:nvSpPr>
        <xdr:cNvPr id="31" name="Afgeronde rechthoek 30">
          <a:extLst>
            <a:ext uri="{FF2B5EF4-FFF2-40B4-BE49-F238E27FC236}">
              <a16:creationId xmlns:a16="http://schemas.microsoft.com/office/drawing/2014/main" id="{65F33142-185A-F547-86B1-11BB51B7A144}"/>
            </a:ext>
          </a:extLst>
        </xdr:cNvPr>
        <xdr:cNvSpPr/>
      </xdr:nvSpPr>
      <xdr:spPr>
        <a:xfrm>
          <a:off x="6030306" y="10864473"/>
          <a:ext cx="2318077"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Aantal laadpunten</a:t>
          </a:r>
        </a:p>
      </xdr:txBody>
    </xdr:sp>
    <xdr:clientData/>
  </xdr:twoCellAnchor>
  <xdr:twoCellAnchor>
    <xdr:from>
      <xdr:col>9</xdr:col>
      <xdr:colOff>148462</xdr:colOff>
      <xdr:row>54</xdr:row>
      <xdr:rowOff>36538</xdr:rowOff>
    </xdr:from>
    <xdr:to>
      <xdr:col>10</xdr:col>
      <xdr:colOff>55328</xdr:colOff>
      <xdr:row>56</xdr:row>
      <xdr:rowOff>134137</xdr:rowOff>
    </xdr:to>
    <xdr:sp macro="" textlink="Laadpunten">
      <xdr:nvSpPr>
        <xdr:cNvPr id="39" name="Afgeronde rechthoek 38">
          <a:extLst>
            <a:ext uri="{FF2B5EF4-FFF2-40B4-BE49-F238E27FC236}">
              <a16:creationId xmlns:a16="http://schemas.microsoft.com/office/drawing/2014/main" id="{7720DEBB-3DCA-DB17-B002-595700EACCD9}"/>
            </a:ext>
          </a:extLst>
        </xdr:cNvPr>
        <xdr:cNvSpPr/>
      </xdr:nvSpPr>
      <xdr:spPr>
        <a:xfrm>
          <a:off x="6938729" y="11500405"/>
          <a:ext cx="736599" cy="503999"/>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10B318C1-8268-A642-BC3C-BDA7DA0C0BBB}" type="TxLink">
            <a:rPr lang="en-US" sz="2000" b="1" i="0" u="none" strike="noStrike" kern="1200">
              <a:solidFill>
                <a:srgbClr val="101315"/>
              </a:solidFill>
              <a:latin typeface="Calibri"/>
              <a:cs typeface="Calibri"/>
            </a:rPr>
            <a:pPr algn="ctr"/>
            <a:t>137</a:t>
          </a:fld>
          <a:endParaRPr lang="nl-NL" sz="1800" b="1" kern="1200"/>
        </a:p>
      </xdr:txBody>
    </xdr:sp>
    <xdr:clientData/>
  </xdr:twoCellAnchor>
  <xdr:twoCellAnchor>
    <xdr:from>
      <xdr:col>16</xdr:col>
      <xdr:colOff>424768</xdr:colOff>
      <xdr:row>32</xdr:row>
      <xdr:rowOff>72876</xdr:rowOff>
    </xdr:from>
    <xdr:to>
      <xdr:col>17</xdr:col>
      <xdr:colOff>347746</xdr:colOff>
      <xdr:row>34</xdr:row>
      <xdr:rowOff>170475</xdr:rowOff>
    </xdr:to>
    <xdr:sp macro="" textlink="Woningen_met_zonnepanelen">
      <xdr:nvSpPr>
        <xdr:cNvPr id="351" name="Afgeronde rechthoek 39">
          <a:extLst>
            <a:ext uri="{FF2B5EF4-FFF2-40B4-BE49-F238E27FC236}">
              <a16:creationId xmlns:a16="http://schemas.microsoft.com/office/drawing/2014/main" id="{5E4937F2-3C68-C249-B2AD-2B631A96B7E5}"/>
            </a:ext>
          </a:extLst>
        </xdr:cNvPr>
        <xdr:cNvSpPr/>
      </xdr:nvSpPr>
      <xdr:spPr>
        <a:xfrm>
          <a:off x="12515168" y="7066343"/>
          <a:ext cx="820445" cy="503999"/>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EC816EF8-EB58-C643-A478-05139E4387CE}" type="TxLink">
            <a:rPr lang="en-US" sz="2000" b="1" i="0" u="none" strike="noStrike" kern="1200">
              <a:solidFill>
                <a:srgbClr val="101315"/>
              </a:solidFill>
              <a:latin typeface="Calibri"/>
              <a:cs typeface="Calibri"/>
            </a:rPr>
            <a:pPr algn="ctr"/>
            <a:t>3502</a:t>
          </a:fld>
          <a:endParaRPr lang="nl-NL" sz="6000" b="1" kern="1200">
            <a:solidFill>
              <a:schemeClr val="tx2"/>
            </a:solidFill>
          </a:endParaRPr>
        </a:p>
      </xdr:txBody>
    </xdr:sp>
    <xdr:clientData/>
  </xdr:twoCellAnchor>
  <xdr:twoCellAnchor editAs="oneCell">
    <xdr:from>
      <xdr:col>13</xdr:col>
      <xdr:colOff>0</xdr:colOff>
      <xdr:row>58</xdr:row>
      <xdr:rowOff>101559</xdr:rowOff>
    </xdr:from>
    <xdr:to>
      <xdr:col>13</xdr:col>
      <xdr:colOff>446574</xdr:colOff>
      <xdr:row>60</xdr:row>
      <xdr:rowOff>144611</xdr:rowOff>
    </xdr:to>
    <xdr:pic>
      <xdr:nvPicPr>
        <xdr:cNvPr id="14" name="Graphic 13" descr="Stad met effen opvulling">
          <a:extLst>
            <a:ext uri="{FF2B5EF4-FFF2-40B4-BE49-F238E27FC236}">
              <a16:creationId xmlns:a16="http://schemas.microsoft.com/office/drawing/2014/main" id="{B4192E7B-DDE6-B042-9CF7-C15B4E37F87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658251" y="2429892"/>
          <a:ext cx="447583" cy="438163"/>
        </a:xfrm>
        <a:prstGeom prst="rect">
          <a:avLst/>
        </a:prstGeom>
      </xdr:spPr>
    </xdr:pic>
    <xdr:clientData/>
  </xdr:twoCellAnchor>
  <xdr:twoCellAnchor>
    <xdr:from>
      <xdr:col>6</xdr:col>
      <xdr:colOff>784161</xdr:colOff>
      <xdr:row>57</xdr:row>
      <xdr:rowOff>13666</xdr:rowOff>
    </xdr:from>
    <xdr:to>
      <xdr:col>9</xdr:col>
      <xdr:colOff>264136</xdr:colOff>
      <xdr:row>63</xdr:row>
      <xdr:rowOff>172820</xdr:rowOff>
    </xdr:to>
    <xdr:grpSp>
      <xdr:nvGrpSpPr>
        <xdr:cNvPr id="449" name="Groep 448">
          <a:extLst>
            <a:ext uri="{FF2B5EF4-FFF2-40B4-BE49-F238E27FC236}">
              <a16:creationId xmlns:a16="http://schemas.microsoft.com/office/drawing/2014/main" id="{1DE97E26-51A3-7132-F475-3ED7BB08D1C5}"/>
            </a:ext>
          </a:extLst>
        </xdr:cNvPr>
        <xdr:cNvGrpSpPr/>
      </xdr:nvGrpSpPr>
      <xdr:grpSpPr>
        <a:xfrm>
          <a:off x="5732081" y="12083746"/>
          <a:ext cx="1329095" cy="1368194"/>
          <a:chOff x="5221596" y="748782"/>
          <a:chExt cx="1568323" cy="1630835"/>
        </a:xfrm>
      </xdr:grpSpPr>
      <xdr:grpSp>
        <xdr:nvGrpSpPr>
          <xdr:cNvPr id="450" name="Groep 449">
            <a:extLst>
              <a:ext uri="{FF2B5EF4-FFF2-40B4-BE49-F238E27FC236}">
                <a16:creationId xmlns:a16="http://schemas.microsoft.com/office/drawing/2014/main" id="{36C54296-2931-7D4B-1159-699BFB95113C}"/>
              </a:ext>
            </a:extLst>
          </xdr:cNvPr>
          <xdr:cNvGrpSpPr/>
        </xdr:nvGrpSpPr>
        <xdr:grpSpPr>
          <a:xfrm>
            <a:off x="5221596" y="748782"/>
            <a:ext cx="1568323" cy="1630835"/>
            <a:chOff x="5714902" y="1502962"/>
            <a:chExt cx="839675" cy="873143"/>
          </a:xfrm>
        </xdr:grpSpPr>
        <xdr:pic>
          <xdr:nvPicPr>
            <xdr:cNvPr id="452" name="Graphic 29" descr="Brandstof met effen opvulling">
              <a:extLst>
                <a:ext uri="{FF2B5EF4-FFF2-40B4-BE49-F238E27FC236}">
                  <a16:creationId xmlns:a16="http://schemas.microsoft.com/office/drawing/2014/main" id="{E9C45145-1AAF-158D-4DA6-1567F0AE15AE}"/>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rcRect l="409" t="30510" r="11509" b="11841"/>
            <a:stretch/>
          </xdr:blipFill>
          <xdr:spPr>
            <a:xfrm>
              <a:off x="5714902" y="1835489"/>
              <a:ext cx="805427" cy="527146"/>
            </a:xfrm>
            <a:prstGeom prst="rect">
              <a:avLst/>
            </a:prstGeom>
          </xdr:spPr>
        </xdr:pic>
        <xdr:pic>
          <xdr:nvPicPr>
            <xdr:cNvPr id="453" name="Graphic 31" descr="Elektrische auto met effen opvulling">
              <a:extLst>
                <a:ext uri="{FF2B5EF4-FFF2-40B4-BE49-F238E27FC236}">
                  <a16:creationId xmlns:a16="http://schemas.microsoft.com/office/drawing/2014/main" id="{5955EDC5-24F4-7751-9118-2EE02440AE98}"/>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rcRect t="18643" r="79828" b="60502"/>
            <a:stretch/>
          </xdr:blipFill>
          <xdr:spPr>
            <a:xfrm rot="21394006">
              <a:off x="6219993" y="1502962"/>
              <a:ext cx="334584" cy="345905"/>
            </a:xfrm>
            <a:prstGeom prst="rect">
              <a:avLst/>
            </a:prstGeom>
          </xdr:spPr>
        </xdr:pic>
        <xdr:pic>
          <xdr:nvPicPr>
            <xdr:cNvPr id="454" name="Graphic 33" descr="Brandstof met effen opvulling">
              <a:extLst>
                <a:ext uri="{FF2B5EF4-FFF2-40B4-BE49-F238E27FC236}">
                  <a16:creationId xmlns:a16="http://schemas.microsoft.com/office/drawing/2014/main" id="{20A7025E-8ECA-036A-36BA-3C3D0DF23D53}"/>
                </a:ext>
              </a:extLst>
            </xdr:cNvPr>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22"/>
                </a:ext>
              </a:extLst>
            </a:blip>
            <a:srcRect l="409" t="11480" r="38042" b="10321"/>
            <a:stretch/>
          </xdr:blipFill>
          <xdr:spPr>
            <a:xfrm>
              <a:off x="5715577" y="1661048"/>
              <a:ext cx="562807" cy="715057"/>
            </a:xfrm>
            <a:prstGeom prst="rect">
              <a:avLst/>
            </a:prstGeom>
          </xdr:spPr>
        </xdr:pic>
      </xdr:grpSp>
      <xdr:pic>
        <xdr:nvPicPr>
          <xdr:cNvPr id="451" name="Graphic 28" descr="Bliksemschicht met effen opvulling">
            <a:extLst>
              <a:ext uri="{FF2B5EF4-FFF2-40B4-BE49-F238E27FC236}">
                <a16:creationId xmlns:a16="http://schemas.microsoft.com/office/drawing/2014/main" id="{67F837F5-8BB4-167C-2168-AFBD8850FA0B}"/>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5725976" y="1706887"/>
            <a:ext cx="461923" cy="461923"/>
          </a:xfrm>
          <a:prstGeom prst="rect">
            <a:avLst/>
          </a:prstGeom>
        </xdr:spPr>
      </xdr:pic>
    </xdr:grpSp>
    <xdr:clientData/>
  </xdr:twoCellAnchor>
  <xdr:twoCellAnchor>
    <xdr:from>
      <xdr:col>11</xdr:col>
      <xdr:colOff>666173</xdr:colOff>
      <xdr:row>8</xdr:row>
      <xdr:rowOff>183890</xdr:rowOff>
    </xdr:from>
    <xdr:to>
      <xdr:col>16</xdr:col>
      <xdr:colOff>104165</xdr:colOff>
      <xdr:row>20</xdr:row>
      <xdr:rowOff>196012</xdr:rowOff>
    </xdr:to>
    <xdr:sp macro="" textlink="">
      <xdr:nvSpPr>
        <xdr:cNvPr id="18" name="Afgeronde rechthoek 17">
          <a:extLst>
            <a:ext uri="{FF2B5EF4-FFF2-40B4-BE49-F238E27FC236}">
              <a16:creationId xmlns:a16="http://schemas.microsoft.com/office/drawing/2014/main" id="{2383D4F8-60AB-FEBD-EFF0-FB8DB1688CE3}"/>
            </a:ext>
          </a:extLst>
        </xdr:cNvPr>
        <xdr:cNvSpPr/>
      </xdr:nvSpPr>
      <xdr:spPr>
        <a:xfrm>
          <a:off x="8631111" y="2190804"/>
          <a:ext cx="3059844" cy="2458048"/>
        </a:xfrm>
        <a:prstGeom prst="roundRect">
          <a:avLst/>
        </a:prstGeom>
        <a:solidFill>
          <a:srgbClr val="FFE9B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12</xdr:col>
      <xdr:colOff>97266</xdr:colOff>
      <xdr:row>7</xdr:row>
      <xdr:rowOff>194369</xdr:rowOff>
    </xdr:from>
    <xdr:to>
      <xdr:col>15</xdr:col>
      <xdr:colOff>560815</xdr:colOff>
      <xdr:row>9</xdr:row>
      <xdr:rowOff>149339</xdr:rowOff>
    </xdr:to>
    <xdr:sp macro="" textlink="">
      <xdr:nvSpPr>
        <xdr:cNvPr id="19" name="Afgeronde rechthoek 18">
          <a:extLst>
            <a:ext uri="{FF2B5EF4-FFF2-40B4-BE49-F238E27FC236}">
              <a16:creationId xmlns:a16="http://schemas.microsoft.com/office/drawing/2014/main" id="{940AE106-E72D-AD47-8D7B-60B29B03A57D}"/>
            </a:ext>
          </a:extLst>
        </xdr:cNvPr>
        <xdr:cNvSpPr/>
      </xdr:nvSpPr>
      <xdr:spPr>
        <a:xfrm>
          <a:off x="8893192" y="1997455"/>
          <a:ext cx="2360709" cy="362625"/>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Totale CO</a:t>
          </a:r>
          <a:r>
            <a:rPr lang="nl-NL" sz="1100" b="1" kern="1200"/>
            <a:t>2</a:t>
          </a:r>
          <a:r>
            <a:rPr lang="nl-NL" sz="1600" b="1" kern="1200"/>
            <a:t>-uitstoot in</a:t>
          </a:r>
        </a:p>
      </xdr:txBody>
    </xdr:sp>
    <xdr:clientData/>
  </xdr:twoCellAnchor>
  <xdr:twoCellAnchor>
    <xdr:from>
      <xdr:col>12</xdr:col>
      <xdr:colOff>705725</xdr:colOff>
      <xdr:row>10</xdr:row>
      <xdr:rowOff>15253</xdr:rowOff>
    </xdr:from>
    <xdr:to>
      <xdr:col>15</xdr:col>
      <xdr:colOff>52703</xdr:colOff>
      <xdr:row>12</xdr:row>
      <xdr:rowOff>51749</xdr:rowOff>
    </xdr:to>
    <xdr:sp macro="" textlink="$W$3">
      <xdr:nvSpPr>
        <xdr:cNvPr id="26" name="Tekstvak 25">
          <a:extLst>
            <a:ext uri="{FF2B5EF4-FFF2-40B4-BE49-F238E27FC236}">
              <a16:creationId xmlns:a16="http://schemas.microsoft.com/office/drawing/2014/main" id="{973DFCCA-D5F1-593B-A4B9-A29E76F34AFE}"/>
            </a:ext>
          </a:extLst>
        </xdr:cNvPr>
        <xdr:cNvSpPr txBox="1"/>
      </xdr:nvSpPr>
      <xdr:spPr>
        <a:xfrm>
          <a:off x="9501651" y="2429821"/>
          <a:ext cx="1244138" cy="44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4C68E9C-A25B-994E-A238-15D1F4959C39}" type="TxLink">
            <a:rPr lang="en-US" sz="2400" b="1" i="0" u="none" strike="noStrike" kern="1200">
              <a:solidFill>
                <a:schemeClr val="tx2"/>
              </a:solidFill>
              <a:latin typeface="Aptos"/>
            </a:rPr>
            <a:pPr algn="ctr"/>
            <a:t>2021</a:t>
          </a:fld>
          <a:endParaRPr lang="nl-NL" sz="1050" kern="1200">
            <a:solidFill>
              <a:schemeClr val="tx2"/>
            </a:solidFill>
          </a:endParaRPr>
        </a:p>
      </xdr:txBody>
    </xdr:sp>
    <xdr:clientData/>
  </xdr:twoCellAnchor>
  <xdr:twoCellAnchor>
    <xdr:from>
      <xdr:col>12</xdr:col>
      <xdr:colOff>235086</xdr:colOff>
      <xdr:row>9</xdr:row>
      <xdr:rowOff>168257</xdr:rowOff>
    </xdr:from>
    <xdr:to>
      <xdr:col>15</xdr:col>
      <xdr:colOff>671957</xdr:colOff>
      <xdr:row>20</xdr:row>
      <xdr:rowOff>45065</xdr:rowOff>
    </xdr:to>
    <xdr:grpSp>
      <xdr:nvGrpSpPr>
        <xdr:cNvPr id="52" name="Groep 51">
          <a:extLst>
            <a:ext uri="{FF2B5EF4-FFF2-40B4-BE49-F238E27FC236}">
              <a16:creationId xmlns:a16="http://schemas.microsoft.com/office/drawing/2014/main" id="{F81793A7-0DF8-BD68-F5EB-022FD88F5B02}"/>
            </a:ext>
          </a:extLst>
        </xdr:cNvPr>
        <xdr:cNvGrpSpPr/>
      </xdr:nvGrpSpPr>
      <xdr:grpSpPr>
        <a:xfrm>
          <a:off x="9541646" y="2484737"/>
          <a:ext cx="2336791" cy="2112008"/>
          <a:chOff x="6366479" y="2212400"/>
          <a:chExt cx="1691451" cy="1691451"/>
        </a:xfrm>
      </xdr:grpSpPr>
      <xdr:pic>
        <xdr:nvPicPr>
          <xdr:cNvPr id="51" name="Graphic 50" descr="Wolk met effen opvulling">
            <a:extLst>
              <a:ext uri="{FF2B5EF4-FFF2-40B4-BE49-F238E27FC236}">
                <a16:creationId xmlns:a16="http://schemas.microsoft.com/office/drawing/2014/main" id="{6293E4D1-D5DE-2EF9-E43E-993B6E1792D4}"/>
              </a:ext>
            </a:extLst>
          </xdr:cNvPr>
          <xdr:cNvPicPr>
            <a:picLocks noChangeAspect="1"/>
          </xdr:cNvPicPr>
        </xdr:nvPicPr>
        <xdr:blipFill>
          <a:blip xmlns:r="http://schemas.openxmlformats.org/officeDocument/2006/relationships" r:embed="rId25">
            <a:extLst>
              <a:ext uri="{96DAC541-7B7A-43D3-8B79-37D633B846F1}">
                <asvg:svgBlip xmlns:asvg="http://schemas.microsoft.com/office/drawing/2016/SVG/main" r:embed="rId26"/>
              </a:ext>
            </a:extLst>
          </a:blip>
          <a:stretch>
            <a:fillRect/>
          </a:stretch>
        </xdr:blipFill>
        <xdr:spPr>
          <a:xfrm>
            <a:off x="6366479" y="2212400"/>
            <a:ext cx="1691451" cy="1691451"/>
          </a:xfrm>
          <a:prstGeom prst="rect">
            <a:avLst/>
          </a:prstGeom>
        </xdr:spPr>
      </xdr:pic>
      <xdr:sp macro="" textlink="Grafieken!$B$6">
        <xdr:nvSpPr>
          <xdr:cNvPr id="482" name="Tekstvak 6">
            <a:extLst>
              <a:ext uri="{FF2B5EF4-FFF2-40B4-BE49-F238E27FC236}">
                <a16:creationId xmlns:a16="http://schemas.microsoft.com/office/drawing/2014/main" id="{530E5913-0DED-F4CF-1809-9DDE04B7B36B}"/>
              </a:ext>
            </a:extLst>
          </xdr:cNvPr>
          <xdr:cNvSpPr txBox="1"/>
        </xdr:nvSpPr>
        <xdr:spPr>
          <a:xfrm>
            <a:off x="6521706" y="2818084"/>
            <a:ext cx="1299196" cy="629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4847D8F-C149-6F4F-975A-1D6B575ACE33}" type="TxLink">
              <a:rPr lang="en-US" sz="2400" b="1" i="0" u="none" strike="noStrike" kern="1200">
                <a:solidFill>
                  <a:schemeClr val="tx2"/>
                </a:solidFill>
                <a:latin typeface="Calibri"/>
                <a:cs typeface="Calibri"/>
              </a:rPr>
              <a:pPr algn="ctr"/>
              <a:t> 170.100 </a:t>
            </a:fld>
            <a:endParaRPr lang="nl-NL" sz="3200" kern="1200">
              <a:solidFill>
                <a:schemeClr val="tx2"/>
              </a:solidFill>
            </a:endParaRPr>
          </a:p>
        </xdr:txBody>
      </xdr:sp>
    </xdr:grpSp>
    <xdr:clientData/>
  </xdr:twoCellAnchor>
  <xdr:twoCellAnchor>
    <xdr:from>
      <xdr:col>5</xdr:col>
      <xdr:colOff>125878</xdr:colOff>
      <xdr:row>6</xdr:row>
      <xdr:rowOff>118364</xdr:rowOff>
    </xdr:from>
    <xdr:to>
      <xdr:col>7</xdr:col>
      <xdr:colOff>635446</xdr:colOff>
      <xdr:row>8</xdr:row>
      <xdr:rowOff>71964</xdr:rowOff>
    </xdr:to>
    <xdr:sp macro="" textlink="">
      <xdr:nvSpPr>
        <xdr:cNvPr id="15" name="Afgeronde rechthoek 14">
          <a:extLst>
            <a:ext uri="{FF2B5EF4-FFF2-40B4-BE49-F238E27FC236}">
              <a16:creationId xmlns:a16="http://schemas.microsoft.com/office/drawing/2014/main" id="{849958B0-0FD2-0F4B-8867-1388AB1B7511}"/>
            </a:ext>
          </a:extLst>
        </xdr:cNvPr>
        <xdr:cNvSpPr/>
      </xdr:nvSpPr>
      <xdr:spPr>
        <a:xfrm>
          <a:off x="3800411" y="1727031"/>
          <a:ext cx="2169035"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Uitstoot over de jaren</a:t>
          </a:r>
        </a:p>
      </xdr:txBody>
    </xdr:sp>
    <xdr:clientData/>
  </xdr:twoCellAnchor>
  <xdr:twoCellAnchor>
    <xdr:from>
      <xdr:col>7</xdr:col>
      <xdr:colOff>101601</xdr:colOff>
      <xdr:row>29</xdr:row>
      <xdr:rowOff>3128</xdr:rowOff>
    </xdr:from>
    <xdr:to>
      <xdr:col>11</xdr:col>
      <xdr:colOff>53041</xdr:colOff>
      <xdr:row>30</xdr:row>
      <xdr:rowOff>159928</xdr:rowOff>
    </xdr:to>
    <xdr:sp macro="" textlink="">
      <xdr:nvSpPr>
        <xdr:cNvPr id="353" name="Afgeronde rechthoek 32">
          <a:extLst>
            <a:ext uri="{FF2B5EF4-FFF2-40B4-BE49-F238E27FC236}">
              <a16:creationId xmlns:a16="http://schemas.microsoft.com/office/drawing/2014/main" id="{C8C353AF-469F-804D-A812-A826CB829D9D}"/>
            </a:ext>
          </a:extLst>
        </xdr:cNvPr>
        <xdr:cNvSpPr/>
      </xdr:nvSpPr>
      <xdr:spPr>
        <a:xfrm>
          <a:off x="5435601" y="6285395"/>
          <a:ext cx="2643840"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400" b="0" i="0" u="none" strike="noStrike" kern="1200" spc="0" baseline="0">
              <a:solidFill>
                <a:srgbClr val="12418A"/>
              </a:solidFill>
              <a:latin typeface="+mn-lt"/>
              <a:ea typeface="+mn-ea"/>
              <a:cs typeface="+mn-cs"/>
            </a:defRPr>
          </a:pPr>
          <a:r>
            <a:rPr lang="nl-NL" sz="1600" b="1">
              <a:solidFill>
                <a:schemeClr val="bg1"/>
              </a:solidFill>
            </a:rPr>
            <a:t>Duurzamere verwarming</a:t>
          </a:r>
        </a:p>
      </xdr:txBody>
    </xdr:sp>
    <xdr:clientData/>
  </xdr:twoCellAnchor>
  <xdr:twoCellAnchor>
    <xdr:from>
      <xdr:col>20</xdr:col>
      <xdr:colOff>446158</xdr:colOff>
      <xdr:row>28</xdr:row>
      <xdr:rowOff>202771</xdr:rowOff>
    </xdr:from>
    <xdr:to>
      <xdr:col>23</xdr:col>
      <xdr:colOff>524931</xdr:colOff>
      <xdr:row>30</xdr:row>
      <xdr:rowOff>156371</xdr:rowOff>
    </xdr:to>
    <xdr:sp macro="" textlink="">
      <xdr:nvSpPr>
        <xdr:cNvPr id="35" name="Afgeronde rechthoek 34">
          <a:extLst>
            <a:ext uri="{FF2B5EF4-FFF2-40B4-BE49-F238E27FC236}">
              <a16:creationId xmlns:a16="http://schemas.microsoft.com/office/drawing/2014/main" id="{215965A1-9CC7-884C-A276-BCFAC868C2F4}"/>
            </a:ext>
          </a:extLst>
        </xdr:cNvPr>
        <xdr:cNvSpPr/>
      </xdr:nvSpPr>
      <xdr:spPr>
        <a:xfrm>
          <a:off x="14924158" y="6281838"/>
          <a:ext cx="2567973"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Woningen van het gas af</a:t>
          </a:r>
        </a:p>
      </xdr:txBody>
    </xdr:sp>
    <xdr:clientData/>
  </xdr:twoCellAnchor>
  <xdr:twoCellAnchor editAs="oneCell">
    <xdr:from>
      <xdr:col>20</xdr:col>
      <xdr:colOff>324176</xdr:colOff>
      <xdr:row>34</xdr:row>
      <xdr:rowOff>9254</xdr:rowOff>
    </xdr:from>
    <xdr:to>
      <xdr:col>21</xdr:col>
      <xdr:colOff>743857</xdr:colOff>
      <xdr:row>40</xdr:row>
      <xdr:rowOff>77277</xdr:rowOff>
    </xdr:to>
    <xdr:pic>
      <xdr:nvPicPr>
        <xdr:cNvPr id="42" name="Graphic 41" descr="Introductiepagina met effen opvulling">
          <a:extLst>
            <a:ext uri="{FF2B5EF4-FFF2-40B4-BE49-F238E27FC236}">
              <a16:creationId xmlns:a16="http://schemas.microsoft.com/office/drawing/2014/main" id="{E6EDB247-FFA5-A322-E685-060072C75DE0}"/>
            </a:ext>
          </a:extLst>
        </xdr:cNvPr>
        <xdr:cNvPicPr>
          <a:picLocks noChangeAspect="1"/>
        </xdr:cNvPicPr>
      </xdr:nvPicPr>
      <xdr:blipFill>
        <a:blip xmlns:r="http://schemas.openxmlformats.org/officeDocument/2006/relationships" r:embed="rId27">
          <a:extLst>
            <a:ext uri="{96DAC541-7B7A-43D3-8B79-37D633B846F1}">
              <asvg:svgBlip xmlns:asvg="http://schemas.microsoft.com/office/drawing/2016/SVG/main" r:embed="rId28"/>
            </a:ext>
          </a:extLst>
        </a:blip>
        <a:stretch>
          <a:fillRect/>
        </a:stretch>
      </xdr:blipFill>
      <xdr:spPr>
        <a:xfrm>
          <a:off x="14802176" y="7307521"/>
          <a:ext cx="1249413" cy="1287223"/>
        </a:xfrm>
        <a:prstGeom prst="rect">
          <a:avLst/>
        </a:prstGeom>
      </xdr:spPr>
    </xdr:pic>
    <xdr:clientData/>
  </xdr:twoCellAnchor>
  <xdr:twoCellAnchor>
    <xdr:from>
      <xdr:col>13</xdr:col>
      <xdr:colOff>238656</xdr:colOff>
      <xdr:row>51</xdr:row>
      <xdr:rowOff>112559</xdr:rowOff>
    </xdr:from>
    <xdr:to>
      <xdr:col>16</xdr:col>
      <xdr:colOff>132127</xdr:colOff>
      <xdr:row>61</xdr:row>
      <xdr:rowOff>111073</xdr:rowOff>
    </xdr:to>
    <xdr:graphicFrame macro="">
      <xdr:nvGraphicFramePr>
        <xdr:cNvPr id="49" name="Grafiek 20">
          <a:extLst>
            <a:ext uri="{FF2B5EF4-FFF2-40B4-BE49-F238E27FC236}">
              <a16:creationId xmlns:a16="http://schemas.microsoft.com/office/drawing/2014/main" id="{B5DFCC65-E0D7-5B4A-9E13-D2F9C19F1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xdr:col>
      <xdr:colOff>15090</xdr:colOff>
      <xdr:row>68</xdr:row>
      <xdr:rowOff>195901</xdr:rowOff>
    </xdr:from>
    <xdr:to>
      <xdr:col>23</xdr:col>
      <xdr:colOff>863599</xdr:colOff>
      <xdr:row>70</xdr:row>
      <xdr:rowOff>196300</xdr:rowOff>
    </xdr:to>
    <xdr:sp macro="" textlink="">
      <xdr:nvSpPr>
        <xdr:cNvPr id="9" name="Afgeronde rechthoek 8">
          <a:extLst>
            <a:ext uri="{FF2B5EF4-FFF2-40B4-BE49-F238E27FC236}">
              <a16:creationId xmlns:a16="http://schemas.microsoft.com/office/drawing/2014/main" id="{15CA7798-FC58-4145-9F4C-DABBA762B84C}"/>
            </a:ext>
          </a:extLst>
        </xdr:cNvPr>
        <xdr:cNvSpPr/>
      </xdr:nvSpPr>
      <xdr:spPr>
        <a:xfrm>
          <a:off x="2021690" y="14546901"/>
          <a:ext cx="15910709" cy="406799"/>
        </a:xfrm>
        <a:prstGeom prst="roundRect">
          <a:avLst/>
        </a:prstGeom>
        <a:solidFill>
          <a:schemeClr val="accent6">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kern="1200"/>
            <a:t>GROENE</a:t>
          </a:r>
          <a:r>
            <a:rPr lang="nl-NL" sz="2400" b="1" kern="1200" baseline="0"/>
            <a:t> PRESTATIES </a:t>
          </a:r>
          <a:endParaRPr lang="nl-NL" sz="2400" b="1" kern="1200"/>
        </a:p>
      </xdr:txBody>
    </xdr:sp>
    <xdr:clientData/>
  </xdr:twoCellAnchor>
  <xdr:twoCellAnchor editAs="oneCell">
    <xdr:from>
      <xdr:col>11</xdr:col>
      <xdr:colOff>133643</xdr:colOff>
      <xdr:row>72</xdr:row>
      <xdr:rowOff>38108</xdr:rowOff>
    </xdr:from>
    <xdr:to>
      <xdr:col>12</xdr:col>
      <xdr:colOff>377514</xdr:colOff>
      <xdr:row>77</xdr:row>
      <xdr:rowOff>87358</xdr:rowOff>
    </xdr:to>
    <xdr:pic>
      <xdr:nvPicPr>
        <xdr:cNvPr id="16" name="Graphic 15" descr="Loofboom met effen opvulling">
          <a:extLst>
            <a:ext uri="{FF2B5EF4-FFF2-40B4-BE49-F238E27FC236}">
              <a16:creationId xmlns:a16="http://schemas.microsoft.com/office/drawing/2014/main" id="{6E79B4E5-B51B-12E7-DEA5-11A71EDAF5B2}"/>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8160043" y="15041041"/>
          <a:ext cx="1073604" cy="1132984"/>
        </a:xfrm>
        <a:prstGeom prst="rect">
          <a:avLst/>
        </a:prstGeom>
      </xdr:spPr>
    </xdr:pic>
    <xdr:clientData/>
  </xdr:twoCellAnchor>
  <xdr:twoCellAnchor>
    <xdr:from>
      <xdr:col>4</xdr:col>
      <xdr:colOff>745971</xdr:colOff>
      <xdr:row>72</xdr:row>
      <xdr:rowOff>103091</xdr:rowOff>
    </xdr:from>
    <xdr:to>
      <xdr:col>10</xdr:col>
      <xdr:colOff>524933</xdr:colOff>
      <xdr:row>74</xdr:row>
      <xdr:rowOff>39757</xdr:rowOff>
    </xdr:to>
    <xdr:sp macro="" textlink="">
      <xdr:nvSpPr>
        <xdr:cNvPr id="21" name="Afgeronde rechthoek 20">
          <a:extLst>
            <a:ext uri="{FF2B5EF4-FFF2-40B4-BE49-F238E27FC236}">
              <a16:creationId xmlns:a16="http://schemas.microsoft.com/office/drawing/2014/main" id="{771CD3C3-6AD9-394F-9970-60321139A89F}"/>
            </a:ext>
          </a:extLst>
        </xdr:cNvPr>
        <xdr:cNvSpPr/>
      </xdr:nvSpPr>
      <xdr:spPr>
        <a:xfrm>
          <a:off x="3573838" y="15106024"/>
          <a:ext cx="4130828" cy="360000"/>
        </a:xfrm>
        <a:prstGeom prst="roundRect">
          <a:avLst/>
        </a:prstGeom>
        <a:solidFill>
          <a:schemeClr val="accent6">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Aantal geplante en gekapte bomen*</a:t>
          </a:r>
        </a:p>
      </xdr:txBody>
    </xdr:sp>
    <xdr:clientData/>
  </xdr:twoCellAnchor>
  <xdr:twoCellAnchor>
    <xdr:from>
      <xdr:col>15</xdr:col>
      <xdr:colOff>770500</xdr:colOff>
      <xdr:row>72</xdr:row>
      <xdr:rowOff>97189</xdr:rowOff>
    </xdr:from>
    <xdr:to>
      <xdr:col>22</xdr:col>
      <xdr:colOff>663433</xdr:colOff>
      <xdr:row>74</xdr:row>
      <xdr:rowOff>40174</xdr:rowOff>
    </xdr:to>
    <xdr:sp macro="" textlink="">
      <xdr:nvSpPr>
        <xdr:cNvPr id="27" name="Afgeronde rechthoek 26">
          <a:extLst>
            <a:ext uri="{FF2B5EF4-FFF2-40B4-BE49-F238E27FC236}">
              <a16:creationId xmlns:a16="http://schemas.microsoft.com/office/drawing/2014/main" id="{65F945CE-3E97-8649-A586-E25BCC76CD0B}"/>
            </a:ext>
          </a:extLst>
        </xdr:cNvPr>
        <xdr:cNvSpPr/>
      </xdr:nvSpPr>
      <xdr:spPr>
        <a:xfrm>
          <a:off x="11499157" y="15450920"/>
          <a:ext cx="5295172" cy="360000"/>
        </a:xfrm>
        <a:prstGeom prst="roundRect">
          <a:avLst/>
        </a:prstGeom>
        <a:solidFill>
          <a:schemeClr val="accent6">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Gevoelstemperatuur per buurt op een hete</a:t>
          </a:r>
          <a:r>
            <a:rPr lang="nl-NL" sz="1600" b="1" kern="1200" baseline="0"/>
            <a:t> zomerdag*</a:t>
          </a:r>
          <a:endParaRPr lang="nl-NL" sz="1600" b="1" kern="1200"/>
        </a:p>
      </xdr:txBody>
    </xdr:sp>
    <xdr:clientData/>
  </xdr:twoCellAnchor>
  <xdr:twoCellAnchor>
    <xdr:from>
      <xdr:col>10</xdr:col>
      <xdr:colOff>186783</xdr:colOff>
      <xdr:row>2</xdr:row>
      <xdr:rowOff>179226</xdr:rowOff>
    </xdr:from>
    <xdr:to>
      <xdr:col>17</xdr:col>
      <xdr:colOff>499646</xdr:colOff>
      <xdr:row>2</xdr:row>
      <xdr:rowOff>683194</xdr:rowOff>
    </xdr:to>
    <xdr:sp macro="" textlink="">
      <xdr:nvSpPr>
        <xdr:cNvPr id="36" name="Tekstvak 35">
          <a:extLst>
            <a:ext uri="{FF2B5EF4-FFF2-40B4-BE49-F238E27FC236}">
              <a16:creationId xmlns:a16="http://schemas.microsoft.com/office/drawing/2014/main" id="{8D13F906-FB37-9A28-1504-4F79D64722C6}"/>
            </a:ext>
          </a:extLst>
        </xdr:cNvPr>
        <xdr:cNvSpPr txBox="1"/>
      </xdr:nvSpPr>
      <xdr:spPr>
        <a:xfrm>
          <a:off x="7321614" y="436080"/>
          <a:ext cx="5635448" cy="503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3200" b="1" kern="1200">
              <a:solidFill>
                <a:schemeClr val="bg1"/>
              </a:solidFill>
            </a:rPr>
            <a:t>KLIMAATMONITOR</a:t>
          </a:r>
          <a:r>
            <a:rPr lang="nl-NL" sz="3200" b="1" kern="1200" baseline="0">
              <a:solidFill>
                <a:schemeClr val="bg1"/>
              </a:solidFill>
            </a:rPr>
            <a:t> BEVERWIJK</a:t>
          </a:r>
          <a:endParaRPr lang="nl-NL" sz="3200" b="1" kern="1200">
            <a:solidFill>
              <a:schemeClr val="bg1"/>
            </a:solidFill>
          </a:endParaRPr>
        </a:p>
      </xdr:txBody>
    </xdr:sp>
    <xdr:clientData/>
  </xdr:twoCellAnchor>
  <xdr:twoCellAnchor>
    <xdr:from>
      <xdr:col>12</xdr:col>
      <xdr:colOff>287509</xdr:colOff>
      <xdr:row>18</xdr:row>
      <xdr:rowOff>48471</xdr:rowOff>
    </xdr:from>
    <xdr:to>
      <xdr:col>15</xdr:col>
      <xdr:colOff>579408</xdr:colOff>
      <xdr:row>20</xdr:row>
      <xdr:rowOff>48470</xdr:rowOff>
    </xdr:to>
    <xdr:sp macro="" textlink="">
      <xdr:nvSpPr>
        <xdr:cNvPr id="63" name="Tekstvak 62">
          <a:extLst>
            <a:ext uri="{FF2B5EF4-FFF2-40B4-BE49-F238E27FC236}">
              <a16:creationId xmlns:a16="http://schemas.microsoft.com/office/drawing/2014/main" id="{70A121FB-9782-466C-1173-D59BFA6B759A}"/>
            </a:ext>
          </a:extLst>
        </xdr:cNvPr>
        <xdr:cNvSpPr txBox="1"/>
      </xdr:nvSpPr>
      <xdr:spPr>
        <a:xfrm>
          <a:off x="9083435" y="4093656"/>
          <a:ext cx="2189059" cy="40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800" b="1" kern="1200">
              <a:solidFill>
                <a:schemeClr val="tx2"/>
              </a:solidFill>
            </a:rPr>
            <a:t>ton CO</a:t>
          </a:r>
          <a:r>
            <a:rPr lang="nl-NL" sz="1400" b="1" kern="1200">
              <a:solidFill>
                <a:schemeClr val="tx2"/>
              </a:solidFill>
            </a:rPr>
            <a:t>2</a:t>
          </a:r>
          <a:endParaRPr lang="nl-NL" sz="1800" b="1" kern="1200">
            <a:solidFill>
              <a:schemeClr val="tx2"/>
            </a:solidFill>
          </a:endParaRPr>
        </a:p>
      </xdr:txBody>
    </xdr:sp>
    <xdr:clientData/>
  </xdr:twoCellAnchor>
  <xdr:twoCellAnchor>
    <xdr:from>
      <xdr:col>11</xdr:col>
      <xdr:colOff>689224</xdr:colOff>
      <xdr:row>32</xdr:row>
      <xdr:rowOff>87095</xdr:rowOff>
    </xdr:from>
    <xdr:to>
      <xdr:col>12</xdr:col>
      <xdr:colOff>562424</xdr:colOff>
      <xdr:row>34</xdr:row>
      <xdr:rowOff>184694</xdr:rowOff>
    </xdr:to>
    <xdr:sp macro="" textlink="duurzamere_verwarming">
      <xdr:nvSpPr>
        <xdr:cNvPr id="41" name="Afgeronde rechthoek 40">
          <a:extLst>
            <a:ext uri="{FF2B5EF4-FFF2-40B4-BE49-F238E27FC236}">
              <a16:creationId xmlns:a16="http://schemas.microsoft.com/office/drawing/2014/main" id="{16D08FA7-BE8E-7144-A52D-6411B840A95F}"/>
            </a:ext>
          </a:extLst>
        </xdr:cNvPr>
        <xdr:cNvSpPr/>
      </xdr:nvSpPr>
      <xdr:spPr>
        <a:xfrm>
          <a:off x="9155891" y="7080562"/>
          <a:ext cx="702933" cy="503999"/>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CBCDC31A-9960-E44F-930E-1943F1E8AB51}" type="TxLink">
            <a:rPr lang="en-US" sz="2000" b="1" i="0" u="none" strike="noStrike" kern="1200">
              <a:solidFill>
                <a:srgbClr val="101315"/>
              </a:solidFill>
              <a:latin typeface="Calibri"/>
              <a:cs typeface="Calibri"/>
            </a:rPr>
            <a:pPr algn="ctr"/>
            <a:t>1%</a:t>
          </a:fld>
          <a:endParaRPr lang="nl-NL" sz="4000" b="1" kern="1200"/>
        </a:p>
      </xdr:txBody>
    </xdr:sp>
    <xdr:clientData/>
  </xdr:twoCellAnchor>
  <xdr:oneCellAnchor>
    <xdr:from>
      <xdr:col>11</xdr:col>
      <xdr:colOff>376767</xdr:colOff>
      <xdr:row>35</xdr:row>
      <xdr:rowOff>128194</xdr:rowOff>
    </xdr:from>
    <xdr:ext cx="1337733" cy="1188146"/>
    <xdr:sp macro="" textlink="">
      <xdr:nvSpPr>
        <xdr:cNvPr id="56" name="Tekstvak 55">
          <a:extLst>
            <a:ext uri="{FF2B5EF4-FFF2-40B4-BE49-F238E27FC236}">
              <a16:creationId xmlns:a16="http://schemas.microsoft.com/office/drawing/2014/main" id="{E5602F7A-CB68-2BA9-9FBB-B69D4611F506}"/>
            </a:ext>
          </a:extLst>
        </xdr:cNvPr>
        <xdr:cNvSpPr txBox="1"/>
      </xdr:nvSpPr>
      <xdr:spPr>
        <a:xfrm>
          <a:off x="8403167" y="7629661"/>
          <a:ext cx="1337733" cy="1188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van alle woningen</a:t>
          </a:r>
          <a:r>
            <a:rPr lang="nl-NL" sz="1400" b="1" kern="1200" baseline="0">
              <a:solidFill>
                <a:schemeClr val="tx2"/>
              </a:solidFill>
            </a:rPr>
            <a:t> wordt duurzamer verwarmd</a:t>
          </a:r>
          <a:endParaRPr lang="nl-NL" sz="1400" b="1" kern="1200">
            <a:solidFill>
              <a:schemeClr val="tx2"/>
            </a:solidFill>
          </a:endParaRPr>
        </a:p>
      </xdr:txBody>
    </xdr:sp>
    <xdr:clientData/>
  </xdr:oneCellAnchor>
  <xdr:oneCellAnchor>
    <xdr:from>
      <xdr:col>16</xdr:col>
      <xdr:colOff>825828</xdr:colOff>
      <xdr:row>35</xdr:row>
      <xdr:rowOff>125929</xdr:rowOff>
    </xdr:from>
    <xdr:ext cx="1337733" cy="311496"/>
    <xdr:sp macro="" textlink="">
      <xdr:nvSpPr>
        <xdr:cNvPr id="59" name="Tekstvak 58">
          <a:extLst>
            <a:ext uri="{FF2B5EF4-FFF2-40B4-BE49-F238E27FC236}">
              <a16:creationId xmlns:a16="http://schemas.microsoft.com/office/drawing/2014/main" id="{4B62BD18-4D07-A24D-96E3-AE5AFA5466CB}"/>
            </a:ext>
          </a:extLst>
        </xdr:cNvPr>
        <xdr:cNvSpPr txBox="1"/>
      </xdr:nvSpPr>
      <xdr:spPr>
        <a:xfrm>
          <a:off x="12475961" y="7627396"/>
          <a:ext cx="13377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toename van</a:t>
          </a:r>
        </a:p>
      </xdr:txBody>
    </xdr:sp>
    <xdr:clientData/>
  </xdr:oneCellAnchor>
  <xdr:oneCellAnchor>
    <xdr:from>
      <xdr:col>16</xdr:col>
      <xdr:colOff>846571</xdr:colOff>
      <xdr:row>39</xdr:row>
      <xdr:rowOff>128563</xdr:rowOff>
    </xdr:from>
    <xdr:ext cx="1337733" cy="311496"/>
    <xdr:sp macro="" textlink="">
      <xdr:nvSpPr>
        <xdr:cNvPr id="60" name="Tekstvak 59">
          <a:extLst>
            <a:ext uri="{FF2B5EF4-FFF2-40B4-BE49-F238E27FC236}">
              <a16:creationId xmlns:a16="http://schemas.microsoft.com/office/drawing/2014/main" id="{BCFE671A-FF5E-5D45-A995-4A3BCE4CE2F4}"/>
            </a:ext>
          </a:extLst>
        </xdr:cNvPr>
        <xdr:cNvSpPr txBox="1"/>
      </xdr:nvSpPr>
      <xdr:spPr>
        <a:xfrm>
          <a:off x="12496704" y="8442830"/>
          <a:ext cx="13377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t.o.v. 2019</a:t>
          </a:r>
        </a:p>
      </xdr:txBody>
    </xdr:sp>
    <xdr:clientData/>
  </xdr:oneCellAnchor>
  <xdr:oneCellAnchor>
    <xdr:from>
      <xdr:col>17</xdr:col>
      <xdr:colOff>263161</xdr:colOff>
      <xdr:row>37</xdr:row>
      <xdr:rowOff>72493</xdr:rowOff>
    </xdr:from>
    <xdr:ext cx="694267" cy="342786"/>
    <xdr:sp macro="" textlink="Toename_woningen_zonnepanelen">
      <xdr:nvSpPr>
        <xdr:cNvPr id="455" name="Tekstvak 454">
          <a:extLst>
            <a:ext uri="{FF2B5EF4-FFF2-40B4-BE49-F238E27FC236}">
              <a16:creationId xmlns:a16="http://schemas.microsoft.com/office/drawing/2014/main" id="{067DEC65-FD8E-3040-8C73-EB88696ACB8B}"/>
            </a:ext>
          </a:extLst>
        </xdr:cNvPr>
        <xdr:cNvSpPr txBox="1"/>
      </xdr:nvSpPr>
      <xdr:spPr>
        <a:xfrm>
          <a:off x="13251028" y="8081960"/>
          <a:ext cx="69426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fld id="{8BE77DA5-322F-1545-B87B-9D7226E3F593}" type="TxLink">
            <a:rPr lang="en-US" sz="1600" b="1" i="0" u="none" strike="noStrike" kern="1200">
              <a:solidFill>
                <a:schemeClr val="tx2"/>
              </a:solidFill>
              <a:latin typeface="Calibri"/>
              <a:cs typeface="Calibri"/>
            </a:rPr>
            <a:pPr algn="ctr"/>
            <a:t>71%</a:t>
          </a:fld>
          <a:endParaRPr lang="nl-NL" sz="1800" b="1" kern="1200">
            <a:solidFill>
              <a:schemeClr val="tx2"/>
            </a:solidFill>
          </a:endParaRPr>
        </a:p>
      </xdr:txBody>
    </xdr:sp>
    <xdr:clientData/>
  </xdr:oneCellAnchor>
  <xdr:twoCellAnchor>
    <xdr:from>
      <xdr:col>21</xdr:col>
      <xdr:colOff>777850</xdr:colOff>
      <xdr:row>32</xdr:row>
      <xdr:rowOff>75968</xdr:rowOff>
    </xdr:from>
    <xdr:to>
      <xdr:col>23</xdr:col>
      <xdr:colOff>34946</xdr:colOff>
      <xdr:row>34</xdr:row>
      <xdr:rowOff>173567</xdr:rowOff>
    </xdr:to>
    <xdr:sp macro="" textlink="Woningen_van_gas_af">
      <xdr:nvSpPr>
        <xdr:cNvPr id="348" name="Afgeronde rechthoek 455">
          <a:extLst>
            <a:ext uri="{FF2B5EF4-FFF2-40B4-BE49-F238E27FC236}">
              <a16:creationId xmlns:a16="http://schemas.microsoft.com/office/drawing/2014/main" id="{E60F0675-EF46-7A4D-8D98-03D629E71AB1}"/>
            </a:ext>
          </a:extLst>
        </xdr:cNvPr>
        <xdr:cNvSpPr/>
      </xdr:nvSpPr>
      <xdr:spPr>
        <a:xfrm>
          <a:off x="16525850" y="7069435"/>
          <a:ext cx="916563" cy="503999"/>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6D5ECDC0-F2B9-664C-894F-21082662EDB9}" type="TxLink">
            <a:rPr lang="en-US" sz="2000" b="1" i="0" u="none" strike="noStrike" kern="1200">
              <a:solidFill>
                <a:srgbClr val="101315"/>
              </a:solidFill>
              <a:latin typeface="Calibri"/>
              <a:cs typeface="Calibri"/>
            </a:rPr>
            <a:pPr algn="ctr"/>
            <a:t>140</a:t>
          </a:fld>
          <a:endParaRPr lang="en-US" sz="2000" b="1" i="0" u="none" strike="noStrike" kern="1200">
            <a:solidFill>
              <a:srgbClr val="101315"/>
            </a:solidFill>
            <a:latin typeface="Calibri"/>
            <a:cs typeface="Calibri"/>
          </a:endParaRPr>
        </a:p>
      </xdr:txBody>
    </xdr:sp>
    <xdr:clientData/>
  </xdr:twoCellAnchor>
  <xdr:twoCellAnchor>
    <xdr:from>
      <xdr:col>20</xdr:col>
      <xdr:colOff>423332</xdr:colOff>
      <xdr:row>9</xdr:row>
      <xdr:rowOff>31075</xdr:rowOff>
    </xdr:from>
    <xdr:to>
      <xdr:col>20</xdr:col>
      <xdr:colOff>560887</xdr:colOff>
      <xdr:row>16</xdr:row>
      <xdr:rowOff>118532</xdr:rowOff>
    </xdr:to>
    <xdr:sp macro="" textlink="">
      <xdr:nvSpPr>
        <xdr:cNvPr id="474" name="Pijl omlaag 473">
          <a:extLst>
            <a:ext uri="{FF2B5EF4-FFF2-40B4-BE49-F238E27FC236}">
              <a16:creationId xmlns:a16="http://schemas.microsoft.com/office/drawing/2014/main" id="{DEBB19CB-1B57-75B3-FADA-EBE1F41B70A0}"/>
            </a:ext>
          </a:extLst>
        </xdr:cNvPr>
        <xdr:cNvSpPr/>
      </xdr:nvSpPr>
      <xdr:spPr>
        <a:xfrm rot="10800000" flipH="1">
          <a:off x="14325599" y="2249342"/>
          <a:ext cx="137555" cy="1509857"/>
        </a:xfrm>
        <a:prstGeom prst="down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endParaRPr lang="nl-NL" sz="1100" kern="1200"/>
        </a:p>
      </xdr:txBody>
    </xdr:sp>
    <xdr:clientData/>
  </xdr:twoCellAnchor>
  <xdr:twoCellAnchor>
    <xdr:from>
      <xdr:col>21</xdr:col>
      <xdr:colOff>457200</xdr:colOff>
      <xdr:row>16</xdr:row>
      <xdr:rowOff>69851</xdr:rowOff>
    </xdr:from>
    <xdr:to>
      <xdr:col>22</xdr:col>
      <xdr:colOff>158749</xdr:colOff>
      <xdr:row>18</xdr:row>
      <xdr:rowOff>158751</xdr:rowOff>
    </xdr:to>
    <xdr:sp macro="" textlink="">
      <xdr:nvSpPr>
        <xdr:cNvPr id="48" name="Ovaal 476">
          <a:extLst>
            <a:ext uri="{FF2B5EF4-FFF2-40B4-BE49-F238E27FC236}">
              <a16:creationId xmlns:a16="http://schemas.microsoft.com/office/drawing/2014/main" id="{2F3C7227-1AEC-C08F-D85A-20D323881393}"/>
            </a:ext>
          </a:extLst>
        </xdr:cNvPr>
        <xdr:cNvSpPr/>
      </xdr:nvSpPr>
      <xdr:spPr>
        <a:xfrm>
          <a:off x="15671800" y="3702051"/>
          <a:ext cx="527049" cy="495300"/>
        </a:xfrm>
        <a:prstGeom prst="ellipse">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24</xdr:col>
      <xdr:colOff>147384</xdr:colOff>
      <xdr:row>2</xdr:row>
      <xdr:rowOff>201947</xdr:rowOff>
    </xdr:from>
    <xdr:to>
      <xdr:col>24</xdr:col>
      <xdr:colOff>670436</xdr:colOff>
      <xdr:row>2</xdr:row>
      <xdr:rowOff>506747</xdr:rowOff>
    </xdr:to>
    <xdr:sp macro="" textlink="">
      <xdr:nvSpPr>
        <xdr:cNvPr id="478" name="Pijl rechts 477">
          <a:extLst>
            <a:ext uri="{FF2B5EF4-FFF2-40B4-BE49-F238E27FC236}">
              <a16:creationId xmlns:a16="http://schemas.microsoft.com/office/drawing/2014/main" id="{82881068-B6B4-A3C2-4A66-9004CCBF852E}"/>
            </a:ext>
          </a:extLst>
        </xdr:cNvPr>
        <xdr:cNvSpPr/>
      </xdr:nvSpPr>
      <xdr:spPr>
        <a:xfrm>
          <a:off x="17943063" y="531206"/>
          <a:ext cx="523052" cy="304800"/>
        </a:xfrm>
        <a:prstGeom prst="leftArrow">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xdr:from>
      <xdr:col>24</xdr:col>
      <xdr:colOff>761372</xdr:colOff>
      <xdr:row>2</xdr:row>
      <xdr:rowOff>42332</xdr:rowOff>
    </xdr:from>
    <xdr:to>
      <xdr:col>27</xdr:col>
      <xdr:colOff>41633</xdr:colOff>
      <xdr:row>2</xdr:row>
      <xdr:rowOff>589843</xdr:rowOff>
    </xdr:to>
    <xdr:sp macro="" textlink="">
      <xdr:nvSpPr>
        <xdr:cNvPr id="481" name="Tekstvak 480">
          <a:extLst>
            <a:ext uri="{FF2B5EF4-FFF2-40B4-BE49-F238E27FC236}">
              <a16:creationId xmlns:a16="http://schemas.microsoft.com/office/drawing/2014/main" id="{83968054-D0C8-CCB0-4A19-6A5D34EC713A}"/>
            </a:ext>
          </a:extLst>
        </xdr:cNvPr>
        <xdr:cNvSpPr txBox="1"/>
      </xdr:nvSpPr>
      <xdr:spPr>
        <a:xfrm>
          <a:off x="18557051" y="371591"/>
          <a:ext cx="1177422" cy="547511"/>
        </a:xfrm>
        <a:prstGeom prst="rect">
          <a:avLst/>
        </a:prstGeom>
        <a:solidFill>
          <a:schemeClr val="accent1">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nl-NL" sz="1400" b="1" kern="1200"/>
            <a:t>Verander hier het jaar</a:t>
          </a:r>
        </a:p>
      </xdr:txBody>
    </xdr:sp>
    <xdr:clientData/>
  </xdr:twoCellAnchor>
  <xdr:oneCellAnchor>
    <xdr:from>
      <xdr:col>9</xdr:col>
      <xdr:colOff>450093</xdr:colOff>
      <xdr:row>57</xdr:row>
      <xdr:rowOff>89062</xdr:rowOff>
    </xdr:from>
    <xdr:ext cx="1337733" cy="311496"/>
    <xdr:sp macro="" textlink="">
      <xdr:nvSpPr>
        <xdr:cNvPr id="492" name="Tekstvak 491">
          <a:extLst>
            <a:ext uri="{FF2B5EF4-FFF2-40B4-BE49-F238E27FC236}">
              <a16:creationId xmlns:a16="http://schemas.microsoft.com/office/drawing/2014/main" id="{DD3FED45-BB57-4C48-BE50-D830B40E0FD9}"/>
            </a:ext>
          </a:extLst>
        </xdr:cNvPr>
        <xdr:cNvSpPr txBox="1"/>
      </xdr:nvSpPr>
      <xdr:spPr>
        <a:xfrm>
          <a:off x="6744064" y="12172738"/>
          <a:ext cx="13377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toename van</a:t>
          </a:r>
        </a:p>
      </xdr:txBody>
    </xdr:sp>
    <xdr:clientData/>
  </xdr:oneCellAnchor>
  <xdr:oneCellAnchor>
    <xdr:from>
      <xdr:col>9</xdr:col>
      <xdr:colOff>430775</xdr:colOff>
      <xdr:row>62</xdr:row>
      <xdr:rowOff>20748</xdr:rowOff>
    </xdr:from>
    <xdr:ext cx="1337733" cy="311496"/>
    <xdr:sp macro="" textlink="">
      <xdr:nvSpPr>
        <xdr:cNvPr id="493" name="Tekstvak 492">
          <a:extLst>
            <a:ext uri="{FF2B5EF4-FFF2-40B4-BE49-F238E27FC236}">
              <a16:creationId xmlns:a16="http://schemas.microsoft.com/office/drawing/2014/main" id="{3281ECE3-003E-C14B-961B-9FE4C5D358E5}"/>
            </a:ext>
          </a:extLst>
        </xdr:cNvPr>
        <xdr:cNvSpPr txBox="1"/>
      </xdr:nvSpPr>
      <xdr:spPr>
        <a:xfrm>
          <a:off x="6724746" y="13112954"/>
          <a:ext cx="13377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t.o.v.</a:t>
          </a:r>
          <a:r>
            <a:rPr lang="nl-NL" sz="1400" b="1" kern="1200" baseline="0">
              <a:solidFill>
                <a:schemeClr val="tx2"/>
              </a:solidFill>
            </a:rPr>
            <a:t> </a:t>
          </a:r>
          <a:r>
            <a:rPr lang="nl-NL" sz="1400" b="1" kern="1200">
              <a:solidFill>
                <a:schemeClr val="tx2"/>
              </a:solidFill>
            </a:rPr>
            <a:t>2019</a:t>
          </a:r>
        </a:p>
      </xdr:txBody>
    </xdr:sp>
    <xdr:clientData/>
  </xdr:oneCellAnchor>
  <xdr:twoCellAnchor>
    <xdr:from>
      <xdr:col>9</xdr:col>
      <xdr:colOff>784909</xdr:colOff>
      <xdr:row>59</xdr:row>
      <xdr:rowOff>132480</xdr:rowOff>
    </xdr:from>
    <xdr:to>
      <xdr:col>10</xdr:col>
      <xdr:colOff>607608</xdr:colOff>
      <xdr:row>61</xdr:row>
      <xdr:rowOff>96373</xdr:rowOff>
    </xdr:to>
    <xdr:sp macro="" textlink="Toename_laadpunten">
      <xdr:nvSpPr>
        <xdr:cNvPr id="17" name="Tekstvak 16">
          <a:extLst>
            <a:ext uri="{FF2B5EF4-FFF2-40B4-BE49-F238E27FC236}">
              <a16:creationId xmlns:a16="http://schemas.microsoft.com/office/drawing/2014/main" id="{15FEAB94-9CDC-AF3D-923C-4074CE663F8A}"/>
            </a:ext>
          </a:extLst>
        </xdr:cNvPr>
        <xdr:cNvSpPr txBox="1"/>
      </xdr:nvSpPr>
      <xdr:spPr>
        <a:xfrm>
          <a:off x="7575176" y="12595413"/>
          <a:ext cx="652432" cy="370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4170509-BDB0-0C40-9D7E-BBAF88DF46EF}" type="TxLink">
            <a:rPr lang="en-US" sz="1600" b="1" i="0" u="none" strike="noStrike" kern="1200">
              <a:solidFill>
                <a:schemeClr val="tx2"/>
              </a:solidFill>
              <a:latin typeface="Calibri"/>
              <a:cs typeface="Calibri"/>
            </a:rPr>
            <a:pPr/>
            <a:t>25%</a:t>
          </a:fld>
          <a:endParaRPr lang="nl-NL" sz="1400" b="1" kern="1200">
            <a:solidFill>
              <a:schemeClr val="tx2"/>
            </a:solidFill>
          </a:endParaRPr>
        </a:p>
      </xdr:txBody>
    </xdr:sp>
    <xdr:clientData/>
  </xdr:twoCellAnchor>
  <xdr:twoCellAnchor editAs="oneCell">
    <xdr:from>
      <xdr:col>16</xdr:col>
      <xdr:colOff>517158</xdr:colOff>
      <xdr:row>36</xdr:row>
      <xdr:rowOff>82166</xdr:rowOff>
    </xdr:from>
    <xdr:to>
      <xdr:col>17</xdr:col>
      <xdr:colOff>280092</xdr:colOff>
      <xdr:row>39</xdr:row>
      <xdr:rowOff>134192</xdr:rowOff>
    </xdr:to>
    <xdr:pic>
      <xdr:nvPicPr>
        <xdr:cNvPr id="464" name="Graphic 463" descr="Pijl omlaag met effen opvulling">
          <a:extLst>
            <a:ext uri="{FF2B5EF4-FFF2-40B4-BE49-F238E27FC236}">
              <a16:creationId xmlns:a16="http://schemas.microsoft.com/office/drawing/2014/main" id="{D3DED9CB-342D-2687-939C-E5D4A25F9FC2}"/>
            </a:ext>
          </a:extLst>
        </xdr:cNvPr>
        <xdr:cNvPicPr>
          <a:picLocks noChangeAspect="1"/>
        </xdr:cNvPicPr>
      </xdr:nvPicPr>
      <xdr:blipFill>
        <a:blip xmlns:r="http://schemas.openxmlformats.org/officeDocument/2006/relationships" r:embed="rId32">
          <a:extLst>
            <a:ext uri="{96DAC541-7B7A-43D3-8B79-37D633B846F1}">
              <asvg:svgBlip xmlns:asvg="http://schemas.microsoft.com/office/drawing/2016/SVG/main" r:embed="rId33"/>
            </a:ext>
          </a:extLst>
        </a:blip>
        <a:stretch>
          <a:fillRect/>
        </a:stretch>
      </xdr:blipFill>
      <xdr:spPr>
        <a:xfrm rot="10800000">
          <a:off x="12167291" y="7786833"/>
          <a:ext cx="660400" cy="661626"/>
        </a:xfrm>
        <a:prstGeom prst="rect">
          <a:avLst/>
        </a:prstGeom>
      </xdr:spPr>
    </xdr:pic>
    <xdr:clientData/>
  </xdr:twoCellAnchor>
  <xdr:twoCellAnchor editAs="oneCell">
    <xdr:from>
      <xdr:col>9</xdr:col>
      <xdr:colOff>101597</xdr:colOff>
      <xdr:row>57</xdr:row>
      <xdr:rowOff>118536</xdr:rowOff>
    </xdr:from>
    <xdr:to>
      <xdr:col>9</xdr:col>
      <xdr:colOff>761997</xdr:colOff>
      <xdr:row>60</xdr:row>
      <xdr:rowOff>186270</xdr:rowOff>
    </xdr:to>
    <xdr:pic>
      <xdr:nvPicPr>
        <xdr:cNvPr id="466" name="Graphic 465" descr="Pijl omlaag met effen opvulling">
          <a:extLst>
            <a:ext uri="{FF2B5EF4-FFF2-40B4-BE49-F238E27FC236}">
              <a16:creationId xmlns:a16="http://schemas.microsoft.com/office/drawing/2014/main" id="{A6D8C528-0B89-1A42-9B94-253527EA3032}"/>
            </a:ext>
          </a:extLst>
        </xdr:cNvPr>
        <xdr:cNvPicPr>
          <a:picLocks noChangeAspect="1"/>
        </xdr:cNvPicPr>
      </xdr:nvPicPr>
      <xdr:blipFill>
        <a:blip xmlns:r="http://schemas.openxmlformats.org/officeDocument/2006/relationships" r:embed="rId32">
          <a:extLst>
            <a:ext uri="{96DAC541-7B7A-43D3-8B79-37D633B846F1}">
              <asvg:svgBlip xmlns:asvg="http://schemas.microsoft.com/office/drawing/2016/SVG/main" r:embed="rId33"/>
            </a:ext>
          </a:extLst>
        </a:blip>
        <a:stretch>
          <a:fillRect/>
        </a:stretch>
      </xdr:blipFill>
      <xdr:spPr>
        <a:xfrm rot="10800000">
          <a:off x="6451597" y="12090403"/>
          <a:ext cx="660400" cy="660400"/>
        </a:xfrm>
        <a:prstGeom prst="rect">
          <a:avLst/>
        </a:prstGeom>
      </xdr:spPr>
    </xdr:pic>
    <xdr:clientData/>
  </xdr:twoCellAnchor>
  <xdr:oneCellAnchor>
    <xdr:from>
      <xdr:col>22</xdr:col>
      <xdr:colOff>521874</xdr:colOff>
      <xdr:row>39</xdr:row>
      <xdr:rowOff>143532</xdr:rowOff>
    </xdr:from>
    <xdr:ext cx="986256" cy="968727"/>
    <xdr:sp macro="" textlink="">
      <xdr:nvSpPr>
        <xdr:cNvPr id="37" name="Tekstvak 36">
          <a:extLst>
            <a:ext uri="{FF2B5EF4-FFF2-40B4-BE49-F238E27FC236}">
              <a16:creationId xmlns:a16="http://schemas.microsoft.com/office/drawing/2014/main" id="{B8D1F832-D61D-F941-AAF1-CDDEBE331655}"/>
            </a:ext>
          </a:extLst>
        </xdr:cNvPr>
        <xdr:cNvSpPr txBox="1"/>
      </xdr:nvSpPr>
      <xdr:spPr>
        <a:xfrm>
          <a:off x="16659341" y="8457799"/>
          <a:ext cx="986256" cy="968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van alle woningen</a:t>
          </a:r>
          <a:r>
            <a:rPr lang="nl-NL" sz="1400" b="1" kern="1200" baseline="0">
              <a:solidFill>
                <a:schemeClr val="tx2"/>
              </a:solidFill>
            </a:rPr>
            <a:t> is van het gas af </a:t>
          </a:r>
          <a:endParaRPr lang="nl-NL" sz="1400" b="1" kern="1200">
            <a:solidFill>
              <a:schemeClr val="tx2"/>
            </a:solidFill>
          </a:endParaRPr>
        </a:p>
      </xdr:txBody>
    </xdr:sp>
    <xdr:clientData/>
  </xdr:oneCellAnchor>
  <xdr:twoCellAnchor>
    <xdr:from>
      <xdr:col>2</xdr:col>
      <xdr:colOff>635947</xdr:colOff>
      <xdr:row>22</xdr:row>
      <xdr:rowOff>30601</xdr:rowOff>
    </xdr:from>
    <xdr:to>
      <xdr:col>3</xdr:col>
      <xdr:colOff>530447</xdr:colOff>
      <xdr:row>25</xdr:row>
      <xdr:rowOff>139700</xdr:rowOff>
    </xdr:to>
    <xdr:sp macro="" textlink="">
      <xdr:nvSpPr>
        <xdr:cNvPr id="3" name="Ovaal 2">
          <a:extLst>
            <a:ext uri="{FF2B5EF4-FFF2-40B4-BE49-F238E27FC236}">
              <a16:creationId xmlns:a16="http://schemas.microsoft.com/office/drawing/2014/main" id="{39509672-F41D-5B4A-A6B9-10E566CF778D}"/>
            </a:ext>
          </a:extLst>
        </xdr:cNvPr>
        <xdr:cNvSpPr/>
      </xdr:nvSpPr>
      <xdr:spPr>
        <a:xfrm>
          <a:off x="1787255" y="4968171"/>
          <a:ext cx="725342" cy="714426"/>
        </a:xfrm>
        <a:prstGeom prst="ellipse">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editAs="oneCell">
    <xdr:from>
      <xdr:col>2</xdr:col>
      <xdr:colOff>669051</xdr:colOff>
      <xdr:row>22</xdr:row>
      <xdr:rowOff>48638</xdr:rowOff>
    </xdr:from>
    <xdr:to>
      <xdr:col>3</xdr:col>
      <xdr:colOff>490191</xdr:colOff>
      <xdr:row>25</xdr:row>
      <xdr:rowOff>100769</xdr:rowOff>
    </xdr:to>
    <xdr:pic>
      <xdr:nvPicPr>
        <xdr:cNvPr id="32" name="Graphic 31" descr="Stad met effen opvulling">
          <a:extLst>
            <a:ext uri="{FF2B5EF4-FFF2-40B4-BE49-F238E27FC236}">
              <a16:creationId xmlns:a16="http://schemas.microsoft.com/office/drawing/2014/main" id="{1F531020-B488-EF49-85AF-BF98A932C73F}"/>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 uri="{96DAC541-7B7A-43D3-8B79-37D633B846F1}">
              <asvg:svgBlip xmlns:asvg="http://schemas.microsoft.com/office/drawing/2016/SVG/main" r:embed="rId35"/>
            </a:ext>
          </a:extLst>
        </a:blip>
        <a:stretch>
          <a:fillRect/>
        </a:stretch>
      </xdr:blipFill>
      <xdr:spPr>
        <a:xfrm>
          <a:off x="1820359" y="4986208"/>
          <a:ext cx="651982" cy="657458"/>
        </a:xfrm>
        <a:prstGeom prst="rect">
          <a:avLst/>
        </a:prstGeom>
      </xdr:spPr>
    </xdr:pic>
    <xdr:clientData/>
  </xdr:twoCellAnchor>
  <xdr:twoCellAnchor>
    <xdr:from>
      <xdr:col>2</xdr:col>
      <xdr:colOff>607283</xdr:colOff>
      <xdr:row>68</xdr:row>
      <xdr:rowOff>100074</xdr:rowOff>
    </xdr:from>
    <xdr:to>
      <xdr:col>3</xdr:col>
      <xdr:colOff>497550</xdr:colOff>
      <xdr:row>72</xdr:row>
      <xdr:rowOff>7274</xdr:rowOff>
    </xdr:to>
    <xdr:sp macro="" textlink="">
      <xdr:nvSpPr>
        <xdr:cNvPr id="40" name="Ovaal 39">
          <a:extLst>
            <a:ext uri="{FF2B5EF4-FFF2-40B4-BE49-F238E27FC236}">
              <a16:creationId xmlns:a16="http://schemas.microsoft.com/office/drawing/2014/main" id="{7D17BC29-C916-3540-B3E4-BBC18C021C88}"/>
            </a:ext>
          </a:extLst>
        </xdr:cNvPr>
        <xdr:cNvSpPr/>
      </xdr:nvSpPr>
      <xdr:spPr>
        <a:xfrm>
          <a:off x="1758750" y="14290207"/>
          <a:ext cx="720000" cy="720000"/>
        </a:xfrm>
        <a:prstGeom prst="ellipse">
          <a:avLst/>
        </a:prstGeom>
        <a:solidFill>
          <a:schemeClr val="accent6">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editAs="oneCell">
    <xdr:from>
      <xdr:col>2</xdr:col>
      <xdr:colOff>685396</xdr:colOff>
      <xdr:row>68</xdr:row>
      <xdr:rowOff>188685</xdr:rowOff>
    </xdr:from>
    <xdr:to>
      <xdr:col>3</xdr:col>
      <xdr:colOff>396130</xdr:colOff>
      <xdr:row>71</xdr:row>
      <xdr:rowOff>118533</xdr:rowOff>
    </xdr:to>
    <xdr:pic>
      <xdr:nvPicPr>
        <xdr:cNvPr id="57" name="Graphic 56" descr="Blad met effen opvulling">
          <a:extLst>
            <a:ext uri="{FF2B5EF4-FFF2-40B4-BE49-F238E27FC236}">
              <a16:creationId xmlns:a16="http://schemas.microsoft.com/office/drawing/2014/main" id="{2E915AEA-ADC0-F60E-B346-D0428A5F258A}"/>
            </a:ext>
          </a:extLst>
        </xdr:cNvPr>
        <xdr:cNvPicPr>
          <a:picLocks noChangeAspect="1"/>
        </xdr:cNvPicPr>
      </xdr:nvPicPr>
      <xdr:blipFill>
        <a:blip xmlns:r="http://schemas.openxmlformats.org/officeDocument/2006/relationships" r:embed="rId36">
          <a:extLst>
            <a:ext uri="{96DAC541-7B7A-43D3-8B79-37D633B846F1}">
              <asvg:svgBlip xmlns:asvg="http://schemas.microsoft.com/office/drawing/2016/SVG/main" r:embed="rId37"/>
            </a:ext>
          </a:extLst>
        </a:blip>
        <a:stretch>
          <a:fillRect/>
        </a:stretch>
      </xdr:blipFill>
      <xdr:spPr>
        <a:xfrm>
          <a:off x="1836863" y="14378818"/>
          <a:ext cx="540467" cy="539448"/>
        </a:xfrm>
        <a:prstGeom prst="rect">
          <a:avLst/>
        </a:prstGeom>
      </xdr:spPr>
    </xdr:pic>
    <xdr:clientData/>
  </xdr:twoCellAnchor>
  <xdr:twoCellAnchor editAs="oneCell">
    <xdr:from>
      <xdr:col>22</xdr:col>
      <xdr:colOff>33511</xdr:colOff>
      <xdr:row>36</xdr:row>
      <xdr:rowOff>92439</xdr:rowOff>
    </xdr:from>
    <xdr:to>
      <xdr:col>22</xdr:col>
      <xdr:colOff>689677</xdr:colOff>
      <xdr:row>39</xdr:row>
      <xdr:rowOff>139467</xdr:rowOff>
    </xdr:to>
    <xdr:pic>
      <xdr:nvPicPr>
        <xdr:cNvPr id="4" name="Graphic 3" descr="Pijl omlaag met effen opvulling">
          <a:extLst>
            <a:ext uri="{FF2B5EF4-FFF2-40B4-BE49-F238E27FC236}">
              <a16:creationId xmlns:a16="http://schemas.microsoft.com/office/drawing/2014/main" id="{6DBF4FFE-1790-8743-82B5-1BFC5CDB97B8}"/>
            </a:ext>
          </a:extLst>
        </xdr:cNvPr>
        <xdr:cNvPicPr>
          <a:picLocks noChangeAspect="1"/>
        </xdr:cNvPicPr>
      </xdr:nvPicPr>
      <xdr:blipFill>
        <a:blip xmlns:r="http://schemas.openxmlformats.org/officeDocument/2006/relationships" r:embed="rId32">
          <a:extLst>
            <a:ext uri="{96DAC541-7B7A-43D3-8B79-37D633B846F1}">
              <asvg:svgBlip xmlns:asvg="http://schemas.microsoft.com/office/drawing/2016/SVG/main" r:embed="rId33"/>
            </a:ext>
          </a:extLst>
        </a:blip>
        <a:stretch>
          <a:fillRect/>
        </a:stretch>
      </xdr:blipFill>
      <xdr:spPr>
        <a:xfrm rot="10800000">
          <a:off x="16170978" y="7797106"/>
          <a:ext cx="656166" cy="656628"/>
        </a:xfrm>
        <a:prstGeom prst="rect">
          <a:avLst/>
        </a:prstGeom>
      </xdr:spPr>
    </xdr:pic>
    <xdr:clientData/>
  </xdr:twoCellAnchor>
  <xdr:twoCellAnchor>
    <xdr:from>
      <xdr:col>3</xdr:col>
      <xdr:colOff>127000</xdr:colOff>
      <xdr:row>60</xdr:row>
      <xdr:rowOff>21167</xdr:rowOff>
    </xdr:from>
    <xdr:to>
      <xdr:col>4</xdr:col>
      <xdr:colOff>199922</xdr:colOff>
      <xdr:row>61</xdr:row>
      <xdr:rowOff>80655</xdr:rowOff>
    </xdr:to>
    <xdr:sp macro="" textlink="">
      <xdr:nvSpPr>
        <xdr:cNvPr id="28" name="Afgeronde rechthoek 455">
          <a:extLst>
            <a:ext uri="{FF2B5EF4-FFF2-40B4-BE49-F238E27FC236}">
              <a16:creationId xmlns:a16="http://schemas.microsoft.com/office/drawing/2014/main" id="{212C9121-E5E8-044D-B862-84B605D41AD9}"/>
            </a:ext>
          </a:extLst>
        </xdr:cNvPr>
        <xdr:cNvSpPr/>
      </xdr:nvSpPr>
      <xdr:spPr>
        <a:xfrm>
          <a:off x="2108200" y="12585700"/>
          <a:ext cx="919589" cy="262688"/>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kern="1200">
              <a:solidFill>
                <a:srgbClr val="101315"/>
              </a:solidFill>
              <a:latin typeface="Calibri"/>
              <a:ea typeface="Calibri"/>
              <a:cs typeface="Calibri"/>
            </a:rPr>
            <a:t>ton CO</a:t>
          </a:r>
          <a:r>
            <a:rPr lang="en-US" sz="1050" b="1" i="0" u="none" strike="noStrike" kern="1200">
              <a:solidFill>
                <a:srgbClr val="101315"/>
              </a:solidFill>
              <a:latin typeface="Calibri"/>
              <a:ea typeface="Calibri"/>
              <a:cs typeface="Calibri"/>
            </a:rPr>
            <a:t>2</a:t>
          </a:r>
          <a:endParaRPr lang="en-US" sz="1400" b="1" i="0" u="none" strike="noStrike" kern="1200">
            <a:solidFill>
              <a:srgbClr val="101315"/>
            </a:solidFill>
            <a:latin typeface="Calibri"/>
            <a:ea typeface="Calibri"/>
            <a:cs typeface="Calibri"/>
          </a:endParaRPr>
        </a:p>
      </xdr:txBody>
    </xdr:sp>
    <xdr:clientData/>
  </xdr:twoCellAnchor>
  <xdr:twoCellAnchor>
    <xdr:from>
      <xdr:col>3</xdr:col>
      <xdr:colOff>76200</xdr:colOff>
      <xdr:row>39</xdr:row>
      <xdr:rowOff>38100</xdr:rowOff>
    </xdr:from>
    <xdr:to>
      <xdr:col>4</xdr:col>
      <xdr:colOff>149122</xdr:colOff>
      <xdr:row>40</xdr:row>
      <xdr:rowOff>101822</xdr:rowOff>
    </xdr:to>
    <xdr:sp macro="" textlink="">
      <xdr:nvSpPr>
        <xdr:cNvPr id="38" name="Afgeronde rechthoek 455">
          <a:extLst>
            <a:ext uri="{FF2B5EF4-FFF2-40B4-BE49-F238E27FC236}">
              <a16:creationId xmlns:a16="http://schemas.microsoft.com/office/drawing/2014/main" id="{2E9C3A84-D579-7C41-9F2B-2C90C39694D3}"/>
            </a:ext>
          </a:extLst>
        </xdr:cNvPr>
        <xdr:cNvSpPr/>
      </xdr:nvSpPr>
      <xdr:spPr>
        <a:xfrm>
          <a:off x="2044700" y="8343900"/>
          <a:ext cx="911122" cy="266922"/>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kern="1200">
              <a:solidFill>
                <a:srgbClr val="101315"/>
              </a:solidFill>
              <a:latin typeface="Calibri"/>
              <a:ea typeface="Calibri"/>
              <a:cs typeface="Calibri"/>
            </a:rPr>
            <a:t>ton CO</a:t>
          </a:r>
          <a:r>
            <a:rPr lang="en-US" sz="1050" b="1" i="0" u="none" strike="noStrike" kern="1200">
              <a:solidFill>
                <a:srgbClr val="101315"/>
              </a:solidFill>
              <a:latin typeface="Calibri"/>
              <a:ea typeface="Calibri"/>
              <a:cs typeface="Calibri"/>
            </a:rPr>
            <a:t>2</a:t>
          </a:r>
          <a:endParaRPr lang="en-US" sz="1400" b="1" i="0" u="none" strike="noStrike" kern="1200">
            <a:solidFill>
              <a:srgbClr val="101315"/>
            </a:solidFill>
            <a:latin typeface="Calibri"/>
            <a:ea typeface="Calibri"/>
            <a:cs typeface="Calibri"/>
          </a:endParaRPr>
        </a:p>
      </xdr:txBody>
    </xdr:sp>
    <xdr:clientData/>
  </xdr:twoCellAnchor>
  <xdr:twoCellAnchor>
    <xdr:from>
      <xdr:col>12</xdr:col>
      <xdr:colOff>315010</xdr:colOff>
      <xdr:row>60</xdr:row>
      <xdr:rowOff>4730</xdr:rowOff>
    </xdr:from>
    <xdr:to>
      <xdr:col>13</xdr:col>
      <xdr:colOff>400631</xdr:colOff>
      <xdr:row>61</xdr:row>
      <xdr:rowOff>68951</xdr:rowOff>
    </xdr:to>
    <xdr:sp macro="" textlink="">
      <xdr:nvSpPr>
        <xdr:cNvPr id="43" name="Afgeronde rechthoek 455">
          <a:extLst>
            <a:ext uri="{FF2B5EF4-FFF2-40B4-BE49-F238E27FC236}">
              <a16:creationId xmlns:a16="http://schemas.microsoft.com/office/drawing/2014/main" id="{3CE8B2D1-BEFB-0741-B086-DD176C9030BD}"/>
            </a:ext>
          </a:extLst>
        </xdr:cNvPr>
        <xdr:cNvSpPr/>
      </xdr:nvSpPr>
      <xdr:spPr>
        <a:xfrm>
          <a:off x="9092951" y="12686054"/>
          <a:ext cx="907386" cy="269662"/>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i="0" u="none" strike="noStrike" kern="1200">
              <a:solidFill>
                <a:srgbClr val="101315"/>
              </a:solidFill>
              <a:latin typeface="Calibri"/>
              <a:ea typeface="Calibri"/>
              <a:cs typeface="Calibri"/>
            </a:rPr>
            <a:t>ton CO</a:t>
          </a:r>
          <a:r>
            <a:rPr lang="en-US" sz="1050" b="1" i="0" u="none" strike="noStrike" kern="1200">
              <a:solidFill>
                <a:srgbClr val="101315"/>
              </a:solidFill>
              <a:latin typeface="Calibri"/>
              <a:ea typeface="Calibri"/>
              <a:cs typeface="Calibri"/>
            </a:rPr>
            <a:t>2</a:t>
          </a:r>
          <a:endParaRPr lang="en-US" sz="1400" b="1" i="0" u="none" strike="noStrike" kern="1200">
            <a:solidFill>
              <a:srgbClr val="101315"/>
            </a:solidFill>
            <a:latin typeface="Calibri"/>
            <a:ea typeface="Calibri"/>
            <a:cs typeface="Calibri"/>
          </a:endParaRPr>
        </a:p>
      </xdr:txBody>
    </xdr:sp>
    <xdr:clientData/>
  </xdr:twoCellAnchor>
  <xdr:twoCellAnchor>
    <xdr:from>
      <xdr:col>10</xdr:col>
      <xdr:colOff>7036</xdr:colOff>
      <xdr:row>6</xdr:row>
      <xdr:rowOff>181670</xdr:rowOff>
    </xdr:from>
    <xdr:to>
      <xdr:col>10</xdr:col>
      <xdr:colOff>7036</xdr:colOff>
      <xdr:row>20</xdr:row>
      <xdr:rowOff>126652</xdr:rowOff>
    </xdr:to>
    <xdr:cxnSp macro="">
      <xdr:nvCxnSpPr>
        <xdr:cNvPr id="456" name="Rechte verbindingslijn 455">
          <a:extLst>
            <a:ext uri="{FF2B5EF4-FFF2-40B4-BE49-F238E27FC236}">
              <a16:creationId xmlns:a16="http://schemas.microsoft.com/office/drawing/2014/main" id="{5A0392E6-6E9D-7E49-AEA6-437ECFC05E92}"/>
            </a:ext>
          </a:extLst>
        </xdr:cNvPr>
        <xdr:cNvCxnSpPr/>
      </xdr:nvCxnSpPr>
      <xdr:spPr>
        <a:xfrm flipH="1">
          <a:off x="7163385" y="1794368"/>
          <a:ext cx="0" cy="276720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598948</xdr:colOff>
      <xdr:row>6</xdr:row>
      <xdr:rowOff>170200</xdr:rowOff>
    </xdr:from>
    <xdr:to>
      <xdr:col>17</xdr:col>
      <xdr:colOff>598948</xdr:colOff>
      <xdr:row>20</xdr:row>
      <xdr:rowOff>115182</xdr:rowOff>
    </xdr:to>
    <xdr:cxnSp macro="">
      <xdr:nvCxnSpPr>
        <xdr:cNvPr id="458" name="Rechte verbindingslijn 457">
          <a:extLst>
            <a:ext uri="{FF2B5EF4-FFF2-40B4-BE49-F238E27FC236}">
              <a16:creationId xmlns:a16="http://schemas.microsoft.com/office/drawing/2014/main" id="{BC9445E2-0965-814B-9C90-8E0ADD2FE660}"/>
            </a:ext>
          </a:extLst>
        </xdr:cNvPr>
        <xdr:cNvCxnSpPr/>
      </xdr:nvCxnSpPr>
      <xdr:spPr>
        <a:xfrm flipH="1">
          <a:off x="13077202" y="1782898"/>
          <a:ext cx="0" cy="276720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40614</xdr:colOff>
      <xdr:row>0</xdr:row>
      <xdr:rowOff>211843</xdr:rowOff>
    </xdr:from>
    <xdr:to>
      <xdr:col>3</xdr:col>
      <xdr:colOff>743998</xdr:colOff>
      <xdr:row>3</xdr:row>
      <xdr:rowOff>141893</xdr:rowOff>
    </xdr:to>
    <xdr:pic>
      <xdr:nvPicPr>
        <xdr:cNvPr id="465" name="Afbeelding 464">
          <a:extLst>
            <a:ext uri="{FF2B5EF4-FFF2-40B4-BE49-F238E27FC236}">
              <a16:creationId xmlns:a16="http://schemas.microsoft.com/office/drawing/2014/main" id="{3E201C01-07A9-2D8E-EDFF-E28B7E0161D0}"/>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t="25296"/>
        <a:stretch/>
      </xdr:blipFill>
      <xdr:spPr>
        <a:xfrm>
          <a:off x="2009827" y="211843"/>
          <a:ext cx="703384" cy="1043084"/>
        </a:xfrm>
        <a:prstGeom prst="rect">
          <a:avLst/>
        </a:prstGeom>
      </xdr:spPr>
    </xdr:pic>
    <xdr:clientData/>
  </xdr:twoCellAnchor>
  <xdr:twoCellAnchor>
    <xdr:from>
      <xdr:col>22</xdr:col>
      <xdr:colOff>532301</xdr:colOff>
      <xdr:row>59</xdr:row>
      <xdr:rowOff>87305</xdr:rowOff>
    </xdr:from>
    <xdr:to>
      <xdr:col>23</xdr:col>
      <xdr:colOff>343007</xdr:colOff>
      <xdr:row>61</xdr:row>
      <xdr:rowOff>76905</xdr:rowOff>
    </xdr:to>
    <xdr:sp macro="" textlink="">
      <xdr:nvSpPr>
        <xdr:cNvPr id="475" name="Afgeronde rechthoek 474">
          <a:extLst>
            <a:ext uri="{FF2B5EF4-FFF2-40B4-BE49-F238E27FC236}">
              <a16:creationId xmlns:a16="http://schemas.microsoft.com/office/drawing/2014/main" id="{1EC9A075-51AB-B24A-837D-99704B1D4C44}"/>
            </a:ext>
          </a:extLst>
        </xdr:cNvPr>
        <xdr:cNvSpPr/>
      </xdr:nvSpPr>
      <xdr:spPr>
        <a:xfrm>
          <a:off x="17110034" y="12550238"/>
          <a:ext cx="640440" cy="396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oneCellAnchor>
    <xdr:from>
      <xdr:col>19</xdr:col>
      <xdr:colOff>121267</xdr:colOff>
      <xdr:row>55</xdr:row>
      <xdr:rowOff>151327</xdr:rowOff>
    </xdr:from>
    <xdr:ext cx="1213717" cy="1193378"/>
    <xdr:pic>
      <xdr:nvPicPr>
        <xdr:cNvPr id="480" name="Graphic 479" descr="Vuilnis met effen opvulling">
          <a:extLst>
            <a:ext uri="{FF2B5EF4-FFF2-40B4-BE49-F238E27FC236}">
              <a16:creationId xmlns:a16="http://schemas.microsoft.com/office/drawing/2014/main" id="{EB3353A7-FD45-F447-B61D-2830975E7EF1}"/>
            </a:ext>
          </a:extLst>
        </xdr:cNvPr>
        <xdr:cNvPicPr>
          <a:picLocks noChangeAspect="1"/>
        </xdr:cNvPicPr>
      </xdr:nvPicPr>
      <xdr:blipFill>
        <a:blip xmlns:r="http://schemas.openxmlformats.org/officeDocument/2006/relationships" r:embed="rId39">
          <a:extLst>
            <a:ext uri="{96DAC541-7B7A-43D3-8B79-37D633B846F1}">
              <asvg:svgBlip xmlns:asvg="http://schemas.microsoft.com/office/drawing/2016/SVG/main" r:embed="rId40"/>
            </a:ext>
          </a:extLst>
        </a:blip>
        <a:stretch>
          <a:fillRect/>
        </a:stretch>
      </xdr:blipFill>
      <xdr:spPr>
        <a:xfrm>
          <a:off x="14296708" y="11824121"/>
          <a:ext cx="1213717" cy="1193378"/>
        </a:xfrm>
        <a:prstGeom prst="rect">
          <a:avLst/>
        </a:prstGeom>
      </xdr:spPr>
    </xdr:pic>
    <xdr:clientData/>
  </xdr:oneCellAnchor>
  <xdr:twoCellAnchor>
    <xdr:from>
      <xdr:col>21</xdr:col>
      <xdr:colOff>482987</xdr:colOff>
      <xdr:row>53</xdr:row>
      <xdr:rowOff>193539</xdr:rowOff>
    </xdr:from>
    <xdr:to>
      <xdr:col>22</xdr:col>
      <xdr:colOff>502757</xdr:colOff>
      <xdr:row>56</xdr:row>
      <xdr:rowOff>87938</xdr:rowOff>
    </xdr:to>
    <xdr:sp macro="" textlink="kg_restafval">
      <xdr:nvSpPr>
        <xdr:cNvPr id="483" name="Afgeronde rechthoek 482">
          <a:extLst>
            <a:ext uri="{FF2B5EF4-FFF2-40B4-BE49-F238E27FC236}">
              <a16:creationId xmlns:a16="http://schemas.microsoft.com/office/drawing/2014/main" id="{DD1E0B70-3890-AD47-B90B-9F7F55772463}"/>
            </a:ext>
          </a:extLst>
        </xdr:cNvPr>
        <xdr:cNvSpPr/>
      </xdr:nvSpPr>
      <xdr:spPr>
        <a:xfrm>
          <a:off x="16230987" y="11454206"/>
          <a:ext cx="849503" cy="503999"/>
        </a:xfrm>
        <a:prstGeom prst="roundRect">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fld id="{EB1925E3-9944-1747-9CE0-FBDCE0F6CFE1}" type="TxLink">
            <a:rPr lang="en-US" sz="2000" b="1" i="0" u="none" strike="noStrike" kern="1200">
              <a:solidFill>
                <a:srgbClr val="101315"/>
              </a:solidFill>
              <a:latin typeface="Calibri"/>
              <a:cs typeface="Calibri"/>
            </a:rPr>
            <a:pPr algn="ctr"/>
            <a:t>235,3</a:t>
          </a:fld>
          <a:endParaRPr lang="en-US" sz="2000" b="1" i="0" u="none" strike="noStrike" kern="1200">
            <a:solidFill>
              <a:srgbClr val="101315"/>
            </a:solidFill>
            <a:latin typeface="Calibri"/>
            <a:cs typeface="Calibri"/>
          </a:endParaRPr>
        </a:p>
      </xdr:txBody>
    </xdr:sp>
    <xdr:clientData/>
  </xdr:twoCellAnchor>
  <xdr:oneCellAnchor>
    <xdr:from>
      <xdr:col>22</xdr:col>
      <xdr:colOff>206097</xdr:colOff>
      <xdr:row>57</xdr:row>
      <xdr:rowOff>43435</xdr:rowOff>
    </xdr:from>
    <xdr:ext cx="1337733" cy="311496"/>
    <xdr:sp macro="" textlink="">
      <xdr:nvSpPr>
        <xdr:cNvPr id="490" name="Tekstvak 489">
          <a:extLst>
            <a:ext uri="{FF2B5EF4-FFF2-40B4-BE49-F238E27FC236}">
              <a16:creationId xmlns:a16="http://schemas.microsoft.com/office/drawing/2014/main" id="{82956C98-322E-D74C-9B13-2DFE336B5166}"/>
            </a:ext>
          </a:extLst>
        </xdr:cNvPr>
        <xdr:cNvSpPr txBox="1"/>
      </xdr:nvSpPr>
      <xdr:spPr>
        <a:xfrm>
          <a:off x="16230509" y="12127111"/>
          <a:ext cx="13377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verschil</a:t>
          </a:r>
          <a:r>
            <a:rPr lang="nl-NL" sz="1400" b="1" kern="1200" baseline="0">
              <a:solidFill>
                <a:schemeClr val="tx2"/>
              </a:solidFill>
            </a:rPr>
            <a:t> van</a:t>
          </a:r>
          <a:endParaRPr lang="nl-NL" sz="1400" b="1" kern="1200">
            <a:solidFill>
              <a:schemeClr val="tx2"/>
            </a:solidFill>
          </a:endParaRPr>
        </a:p>
      </xdr:txBody>
    </xdr:sp>
    <xdr:clientData/>
  </xdr:oneCellAnchor>
  <xdr:oneCellAnchor>
    <xdr:from>
      <xdr:col>22</xdr:col>
      <xdr:colOff>162460</xdr:colOff>
      <xdr:row>62</xdr:row>
      <xdr:rowOff>24686</xdr:rowOff>
    </xdr:from>
    <xdr:ext cx="1337733" cy="311496"/>
    <xdr:sp macro="" textlink="">
      <xdr:nvSpPr>
        <xdr:cNvPr id="491" name="Tekstvak 490">
          <a:extLst>
            <a:ext uri="{FF2B5EF4-FFF2-40B4-BE49-F238E27FC236}">
              <a16:creationId xmlns:a16="http://schemas.microsoft.com/office/drawing/2014/main" id="{D463A02C-3C6C-A847-A887-B1473B9F972A}"/>
            </a:ext>
          </a:extLst>
        </xdr:cNvPr>
        <xdr:cNvSpPr txBox="1"/>
      </xdr:nvSpPr>
      <xdr:spPr>
        <a:xfrm>
          <a:off x="16186872" y="13116892"/>
          <a:ext cx="133773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nl-NL" sz="1400" b="1" kern="1200">
              <a:solidFill>
                <a:schemeClr val="tx2"/>
              </a:solidFill>
            </a:rPr>
            <a:t>t.o.v. 2019</a:t>
          </a:r>
        </a:p>
      </xdr:txBody>
    </xdr:sp>
    <xdr:clientData/>
  </xdr:oneCellAnchor>
  <xdr:twoCellAnchor>
    <xdr:from>
      <xdr:col>22</xdr:col>
      <xdr:colOff>512363</xdr:colOff>
      <xdr:row>59</xdr:row>
      <xdr:rowOff>103767</xdr:rowOff>
    </xdr:from>
    <xdr:to>
      <xdr:col>23</xdr:col>
      <xdr:colOff>372535</xdr:colOff>
      <xdr:row>61</xdr:row>
      <xdr:rowOff>93367</xdr:rowOff>
    </xdr:to>
    <xdr:sp macro="" textlink="Afname_restafval">
      <xdr:nvSpPr>
        <xdr:cNvPr id="495" name="Tekstvak 494">
          <a:extLst>
            <a:ext uri="{FF2B5EF4-FFF2-40B4-BE49-F238E27FC236}">
              <a16:creationId xmlns:a16="http://schemas.microsoft.com/office/drawing/2014/main" id="{0DAEA1C5-997D-8849-B78C-E2286F534A16}"/>
            </a:ext>
          </a:extLst>
        </xdr:cNvPr>
        <xdr:cNvSpPr txBox="1"/>
      </xdr:nvSpPr>
      <xdr:spPr>
        <a:xfrm>
          <a:off x="17090096" y="12566700"/>
          <a:ext cx="689906"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4504BF7-0226-3E4E-B9CF-CA3E2865E85F}" type="TxLink">
            <a:rPr lang="en-US" sz="1600" b="1" i="0" u="none" strike="noStrike" kern="1200">
              <a:solidFill>
                <a:srgbClr val="101315"/>
              </a:solidFill>
              <a:latin typeface="Calibri"/>
              <a:cs typeface="Calibri"/>
            </a:rPr>
            <a:pPr algn="ctr"/>
            <a:t>-4%</a:t>
          </a:fld>
          <a:endParaRPr lang="nl-NL" sz="1600" b="1" kern="1200">
            <a:solidFill>
              <a:schemeClr val="tx2"/>
            </a:solidFill>
          </a:endParaRPr>
        </a:p>
      </xdr:txBody>
    </xdr:sp>
    <xdr:clientData/>
  </xdr:twoCellAnchor>
  <xdr:twoCellAnchor>
    <xdr:from>
      <xdr:col>19</xdr:col>
      <xdr:colOff>25244</xdr:colOff>
      <xdr:row>49</xdr:row>
      <xdr:rowOff>90177</xdr:rowOff>
    </xdr:from>
    <xdr:to>
      <xdr:col>22</xdr:col>
      <xdr:colOff>784415</xdr:colOff>
      <xdr:row>51</xdr:row>
      <xdr:rowOff>43777</xdr:rowOff>
    </xdr:to>
    <xdr:sp macro="" textlink="">
      <xdr:nvSpPr>
        <xdr:cNvPr id="497" name="Afgeronde rechthoek 496">
          <a:extLst>
            <a:ext uri="{FF2B5EF4-FFF2-40B4-BE49-F238E27FC236}">
              <a16:creationId xmlns:a16="http://schemas.microsoft.com/office/drawing/2014/main" id="{63A5DC50-825E-DC4A-962D-2AC61F6B53A9}"/>
            </a:ext>
          </a:extLst>
        </xdr:cNvPr>
        <xdr:cNvSpPr/>
      </xdr:nvSpPr>
      <xdr:spPr>
        <a:xfrm>
          <a:off x="14740311" y="10538044"/>
          <a:ext cx="2621837" cy="360000"/>
        </a:xfrm>
        <a:prstGeom prst="roundRect">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b="1" kern="1200"/>
            <a:t>Kg restafval per persoon</a:t>
          </a:r>
        </a:p>
      </xdr:txBody>
    </xdr:sp>
    <xdr:clientData/>
  </xdr:twoCellAnchor>
  <xdr:oneCellAnchor>
    <xdr:from>
      <xdr:col>21</xdr:col>
      <xdr:colOff>542404</xdr:colOff>
      <xdr:row>57</xdr:row>
      <xdr:rowOff>168202</xdr:rowOff>
    </xdr:from>
    <xdr:ext cx="658769" cy="636955"/>
    <xdr:pic>
      <xdr:nvPicPr>
        <xdr:cNvPr id="498" name="Graphic 497" descr="Pijl omlaag met effen opvulling">
          <a:extLst>
            <a:ext uri="{FF2B5EF4-FFF2-40B4-BE49-F238E27FC236}">
              <a16:creationId xmlns:a16="http://schemas.microsoft.com/office/drawing/2014/main" id="{A47B8E0E-9C12-1249-AD86-1FE772524AC8}"/>
            </a:ext>
          </a:extLst>
        </xdr:cNvPr>
        <xdr:cNvPicPr>
          <a:picLocks noChangeAspect="1"/>
        </xdr:cNvPicPr>
      </xdr:nvPicPr>
      <xdr:blipFill>
        <a:blip xmlns:r="http://schemas.openxmlformats.org/officeDocument/2006/relationships" r:embed="rId41">
          <a:extLst>
            <a:ext uri="{96DAC541-7B7A-43D3-8B79-37D633B846F1}">
              <asvg:svgBlip xmlns:asvg="http://schemas.microsoft.com/office/drawing/2016/SVG/main" r:embed="rId42"/>
            </a:ext>
          </a:extLst>
        </a:blip>
        <a:stretch>
          <a:fillRect/>
        </a:stretch>
      </xdr:blipFill>
      <xdr:spPr>
        <a:xfrm>
          <a:off x="15745051" y="12251878"/>
          <a:ext cx="658769" cy="636955"/>
        </a:xfrm>
        <a:prstGeom prst="rect">
          <a:avLst/>
        </a:prstGeom>
      </xdr:spPr>
    </xdr:pic>
    <xdr:clientData/>
  </xdr:oneCellAnchor>
  <xdr:twoCellAnchor>
    <xdr:from>
      <xdr:col>3</xdr:col>
      <xdr:colOff>747058</xdr:colOff>
      <xdr:row>75</xdr:row>
      <xdr:rowOff>35358</xdr:rowOff>
    </xdr:from>
    <xdr:to>
      <xdr:col>11</xdr:col>
      <xdr:colOff>812799</xdr:colOff>
      <xdr:row>86</xdr:row>
      <xdr:rowOff>186265</xdr:rowOff>
    </xdr:to>
    <xdr:graphicFrame macro="">
      <xdr:nvGraphicFramePr>
        <xdr:cNvPr id="503" name="Grafiek 502">
          <a:extLst>
            <a:ext uri="{FF2B5EF4-FFF2-40B4-BE49-F238E27FC236}">
              <a16:creationId xmlns:a16="http://schemas.microsoft.com/office/drawing/2014/main" id="{83D19257-50B1-EA6F-F7E3-98C1E802A9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xdr:col>
      <xdr:colOff>702933</xdr:colOff>
      <xdr:row>25</xdr:row>
      <xdr:rowOff>84812</xdr:rowOff>
    </xdr:from>
    <xdr:to>
      <xdr:col>15</xdr:col>
      <xdr:colOff>491066</xdr:colOff>
      <xdr:row>27</xdr:row>
      <xdr:rowOff>84665</xdr:rowOff>
    </xdr:to>
    <xdr:sp macro="" textlink="">
      <xdr:nvSpPr>
        <xdr:cNvPr id="502" name="Afgeronde rechthoek 32">
          <a:extLst>
            <a:ext uri="{FF2B5EF4-FFF2-40B4-BE49-F238E27FC236}">
              <a16:creationId xmlns:a16="http://schemas.microsoft.com/office/drawing/2014/main" id="{3064B096-30AD-0A48-BFDF-DB8BA38EB611}"/>
            </a:ext>
          </a:extLst>
        </xdr:cNvPr>
        <xdr:cNvSpPr/>
      </xdr:nvSpPr>
      <xdr:spPr>
        <a:xfrm>
          <a:off x="8729333" y="5554279"/>
          <a:ext cx="2514400" cy="406253"/>
        </a:xfrm>
        <a:prstGeom prst="roundRect">
          <a:avLst/>
        </a:prstGeom>
        <a:solidFill>
          <a:schemeClr val="tx2">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400" b="0" i="0" u="none" strike="noStrike" kern="1200" spc="0" baseline="0">
              <a:solidFill>
                <a:srgbClr val="12418A"/>
              </a:solidFill>
              <a:latin typeface="+mn-lt"/>
              <a:ea typeface="+mn-ea"/>
              <a:cs typeface="+mn-cs"/>
            </a:defRPr>
          </a:pPr>
          <a:r>
            <a:rPr lang="nl-NL" sz="1600" b="1">
              <a:solidFill>
                <a:schemeClr val="bg1"/>
              </a:solidFill>
            </a:rPr>
            <a:t>Totaal aantal woningen: </a:t>
          </a:r>
        </a:p>
      </xdr:txBody>
    </xdr:sp>
    <xdr:clientData/>
  </xdr:twoCellAnchor>
  <xdr:twoCellAnchor>
    <xdr:from>
      <xdr:col>10</xdr:col>
      <xdr:colOff>717466</xdr:colOff>
      <xdr:row>24</xdr:row>
      <xdr:rowOff>162361</xdr:rowOff>
    </xdr:from>
    <xdr:to>
      <xdr:col>11</xdr:col>
      <xdr:colOff>604762</xdr:colOff>
      <xdr:row>28</xdr:row>
      <xdr:rowOff>60475</xdr:rowOff>
    </xdr:to>
    <xdr:sp macro="" textlink="">
      <xdr:nvSpPr>
        <xdr:cNvPr id="504" name="Ovaal 503">
          <a:extLst>
            <a:ext uri="{FF2B5EF4-FFF2-40B4-BE49-F238E27FC236}">
              <a16:creationId xmlns:a16="http://schemas.microsoft.com/office/drawing/2014/main" id="{61F3B9E0-33E8-F947-AEC4-53450324236D}"/>
            </a:ext>
          </a:extLst>
        </xdr:cNvPr>
        <xdr:cNvSpPr/>
      </xdr:nvSpPr>
      <xdr:spPr>
        <a:xfrm>
          <a:off x="7873815" y="5403631"/>
          <a:ext cx="733963" cy="704463"/>
        </a:xfrm>
        <a:prstGeom prst="ellipse">
          <a:avLst/>
        </a:prstGeom>
        <a:solidFill>
          <a:schemeClr val="tx2">
            <a:lumMod val="10000"/>
            <a:lumOff val="9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editAs="oneCell">
    <xdr:from>
      <xdr:col>10</xdr:col>
      <xdr:colOff>799093</xdr:colOff>
      <xdr:row>24</xdr:row>
      <xdr:rowOff>195637</xdr:rowOff>
    </xdr:from>
    <xdr:to>
      <xdr:col>11</xdr:col>
      <xdr:colOff>526458</xdr:colOff>
      <xdr:row>27</xdr:row>
      <xdr:rowOff>170317</xdr:rowOff>
    </xdr:to>
    <xdr:pic>
      <xdr:nvPicPr>
        <xdr:cNvPr id="505" name="Graphic 504" descr="Introductiepagina met effen opvulling">
          <a:extLst>
            <a:ext uri="{FF2B5EF4-FFF2-40B4-BE49-F238E27FC236}">
              <a16:creationId xmlns:a16="http://schemas.microsoft.com/office/drawing/2014/main" id="{9E624459-CA82-E64C-B4CC-B6F09C5119D8}"/>
            </a:ext>
          </a:extLst>
        </xdr:cNvPr>
        <xdr:cNvPicPr>
          <a:picLocks noChangeAspect="1"/>
        </xdr:cNvPicPr>
      </xdr:nvPicPr>
      <xdr:blipFill>
        <a:blip xmlns:r="http://schemas.openxmlformats.org/officeDocument/2006/relationships" r:embed="rId27">
          <a:extLst>
            <a:ext uri="{96DAC541-7B7A-43D3-8B79-37D633B846F1}">
              <asvg:svgBlip xmlns:asvg="http://schemas.microsoft.com/office/drawing/2016/SVG/main" r:embed="rId28"/>
            </a:ext>
          </a:extLst>
        </a:blip>
        <a:stretch>
          <a:fillRect/>
        </a:stretch>
      </xdr:blipFill>
      <xdr:spPr>
        <a:xfrm>
          <a:off x="7968065" y="5536758"/>
          <a:ext cx="570074" cy="580008"/>
        </a:xfrm>
        <a:prstGeom prst="rect">
          <a:avLst/>
        </a:prstGeom>
      </xdr:spPr>
    </xdr:pic>
    <xdr:clientData/>
  </xdr:twoCellAnchor>
  <xdr:twoCellAnchor>
    <xdr:from>
      <xdr:col>15</xdr:col>
      <xdr:colOff>656990</xdr:colOff>
      <xdr:row>25</xdr:row>
      <xdr:rowOff>49531</xdr:rowOff>
    </xdr:from>
    <xdr:to>
      <xdr:col>16</xdr:col>
      <xdr:colOff>704738</xdr:colOff>
      <xdr:row>27</xdr:row>
      <xdr:rowOff>66463</xdr:rowOff>
    </xdr:to>
    <xdr:sp macro="" textlink="Woningen_totaal">
      <xdr:nvSpPr>
        <xdr:cNvPr id="506" name="Afgeronde rechthoek 505">
          <a:extLst>
            <a:ext uri="{FF2B5EF4-FFF2-40B4-BE49-F238E27FC236}">
              <a16:creationId xmlns:a16="http://schemas.microsoft.com/office/drawing/2014/main" id="{6291798D-7B09-D5DC-355A-905B59613942}"/>
            </a:ext>
          </a:extLst>
        </xdr:cNvPr>
        <xdr:cNvSpPr/>
      </xdr:nvSpPr>
      <xdr:spPr>
        <a:xfrm>
          <a:off x="11385647" y="5622367"/>
          <a:ext cx="938643" cy="433947"/>
        </a:xfrm>
        <a:prstGeom prst="roundRect">
          <a:avLst/>
        </a:prstGeom>
        <a:solidFill>
          <a:schemeClr val="tx2">
            <a:lumMod val="10000"/>
            <a:lumOff val="90000"/>
          </a:schemeClr>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fld id="{72660086-A6DC-3347-92C2-380539E1EAFC}" type="TxLink">
            <a:rPr lang="en-US" sz="2000" b="1" i="0" u="none" strike="noStrike">
              <a:solidFill>
                <a:srgbClr val="101315"/>
              </a:solidFill>
              <a:latin typeface="Calibri"/>
              <a:cs typeface="Calibri"/>
            </a:rPr>
            <a:pPr algn="ctr"/>
            <a:t>19511</a:t>
          </a:fld>
          <a:endParaRPr lang="nl-NL" sz="1800" b="1"/>
        </a:p>
      </xdr:txBody>
    </xdr:sp>
    <xdr:clientData/>
  </xdr:twoCellAnchor>
  <xdr:twoCellAnchor>
    <xdr:from>
      <xdr:col>2</xdr:col>
      <xdr:colOff>796766</xdr:colOff>
      <xdr:row>45</xdr:row>
      <xdr:rowOff>185788</xdr:rowOff>
    </xdr:from>
    <xdr:to>
      <xdr:col>11</xdr:col>
      <xdr:colOff>389467</xdr:colOff>
      <xdr:row>47</xdr:row>
      <xdr:rowOff>186267</xdr:rowOff>
    </xdr:to>
    <xdr:sp macro="" textlink="">
      <xdr:nvSpPr>
        <xdr:cNvPr id="50" name="Afgeronde rechthoek 49">
          <a:extLst>
            <a:ext uri="{FF2B5EF4-FFF2-40B4-BE49-F238E27FC236}">
              <a16:creationId xmlns:a16="http://schemas.microsoft.com/office/drawing/2014/main" id="{E1CBBB48-754C-BA41-A010-B3901D17F024}"/>
            </a:ext>
          </a:extLst>
        </xdr:cNvPr>
        <xdr:cNvSpPr/>
      </xdr:nvSpPr>
      <xdr:spPr>
        <a:xfrm>
          <a:off x="1948233" y="9719255"/>
          <a:ext cx="6467634" cy="406879"/>
        </a:xfrm>
        <a:prstGeom prst="round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kern="1200"/>
            <a:t>VERKEER</a:t>
          </a:r>
          <a:r>
            <a:rPr lang="nl-NL" sz="2400" b="1" kern="1200" baseline="0"/>
            <a:t> &amp; VERVOER</a:t>
          </a:r>
          <a:endParaRPr lang="nl-NL" sz="2400" b="1" kern="1200"/>
        </a:p>
      </xdr:txBody>
    </xdr:sp>
    <xdr:clientData/>
  </xdr:twoCellAnchor>
  <xdr:twoCellAnchor>
    <xdr:from>
      <xdr:col>2</xdr:col>
      <xdr:colOff>652880</xdr:colOff>
      <xdr:row>45</xdr:row>
      <xdr:rowOff>64468</xdr:rowOff>
    </xdr:from>
    <xdr:to>
      <xdr:col>3</xdr:col>
      <xdr:colOff>547380</xdr:colOff>
      <xdr:row>48</xdr:row>
      <xdr:rowOff>173567</xdr:rowOff>
    </xdr:to>
    <xdr:sp macro="" textlink="">
      <xdr:nvSpPr>
        <xdr:cNvPr id="61" name="Ovaal 60">
          <a:extLst>
            <a:ext uri="{FF2B5EF4-FFF2-40B4-BE49-F238E27FC236}">
              <a16:creationId xmlns:a16="http://schemas.microsoft.com/office/drawing/2014/main" id="{6B772CBA-E269-E741-9C69-DA3722B88930}"/>
            </a:ext>
          </a:extLst>
        </xdr:cNvPr>
        <xdr:cNvSpPr/>
      </xdr:nvSpPr>
      <xdr:spPr>
        <a:xfrm>
          <a:off x="1804347" y="9597935"/>
          <a:ext cx="724233" cy="718699"/>
        </a:xfrm>
        <a:prstGeom prst="ellipse">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editAs="oneCell">
    <xdr:from>
      <xdr:col>2</xdr:col>
      <xdr:colOff>700075</xdr:colOff>
      <xdr:row>45</xdr:row>
      <xdr:rowOff>84382</xdr:rowOff>
    </xdr:from>
    <xdr:to>
      <xdr:col>3</xdr:col>
      <xdr:colOff>495415</xdr:colOff>
      <xdr:row>48</xdr:row>
      <xdr:rowOff>118533</xdr:rowOff>
    </xdr:to>
    <xdr:pic>
      <xdr:nvPicPr>
        <xdr:cNvPr id="47" name="Graphic 46" descr="Auto met effen opvulling">
          <a:extLst>
            <a:ext uri="{FF2B5EF4-FFF2-40B4-BE49-F238E27FC236}">
              <a16:creationId xmlns:a16="http://schemas.microsoft.com/office/drawing/2014/main" id="{26D65A89-0508-CF49-AF3D-D7A819897ABA}"/>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 uri="{96DAC541-7B7A-43D3-8B79-37D633B846F1}">
              <asvg:svgBlip xmlns:asvg="http://schemas.microsoft.com/office/drawing/2016/SVG/main" r:embed="rId45"/>
            </a:ext>
          </a:extLst>
        </a:blip>
        <a:stretch>
          <a:fillRect/>
        </a:stretch>
      </xdr:blipFill>
      <xdr:spPr>
        <a:xfrm>
          <a:off x="1851542" y="9617849"/>
          <a:ext cx="625073" cy="643751"/>
        </a:xfrm>
        <a:prstGeom prst="rect">
          <a:avLst/>
        </a:prstGeom>
      </xdr:spPr>
    </xdr:pic>
    <xdr:clientData/>
  </xdr:twoCellAnchor>
  <xdr:twoCellAnchor>
    <xdr:from>
      <xdr:col>11</xdr:col>
      <xdr:colOff>389467</xdr:colOff>
      <xdr:row>46</xdr:row>
      <xdr:rowOff>0</xdr:rowOff>
    </xdr:from>
    <xdr:to>
      <xdr:col>11</xdr:col>
      <xdr:colOff>592667</xdr:colOff>
      <xdr:row>68</xdr:row>
      <xdr:rowOff>16934</xdr:rowOff>
    </xdr:to>
    <xdr:sp macro="" textlink="">
      <xdr:nvSpPr>
        <xdr:cNvPr id="62" name="Rechthoek 61">
          <a:extLst>
            <a:ext uri="{FF2B5EF4-FFF2-40B4-BE49-F238E27FC236}">
              <a16:creationId xmlns:a16="http://schemas.microsoft.com/office/drawing/2014/main" id="{D50CEBB7-FB2F-2CA1-0ADA-9B8847EAA035}"/>
            </a:ext>
          </a:extLst>
        </xdr:cNvPr>
        <xdr:cNvSpPr/>
      </xdr:nvSpPr>
      <xdr:spPr>
        <a:xfrm>
          <a:off x="8415867" y="9736667"/>
          <a:ext cx="203200" cy="44704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593567</xdr:colOff>
      <xdr:row>45</xdr:row>
      <xdr:rowOff>185788</xdr:rowOff>
    </xdr:from>
    <xdr:to>
      <xdr:col>17</xdr:col>
      <xdr:colOff>558800</xdr:colOff>
      <xdr:row>47</xdr:row>
      <xdr:rowOff>186267</xdr:rowOff>
    </xdr:to>
    <xdr:sp macro="" textlink="">
      <xdr:nvSpPr>
        <xdr:cNvPr id="457" name="Afgeronde rechthoek 456">
          <a:extLst>
            <a:ext uri="{FF2B5EF4-FFF2-40B4-BE49-F238E27FC236}">
              <a16:creationId xmlns:a16="http://schemas.microsoft.com/office/drawing/2014/main" id="{27D36EFA-BA28-2E4A-9571-8C9170AF2A20}"/>
            </a:ext>
          </a:extLst>
        </xdr:cNvPr>
        <xdr:cNvSpPr/>
      </xdr:nvSpPr>
      <xdr:spPr>
        <a:xfrm>
          <a:off x="8619967" y="9719255"/>
          <a:ext cx="4486433" cy="406879"/>
        </a:xfrm>
        <a:prstGeom prst="round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kern="1200"/>
            <a:t>INDUSTRIE</a:t>
          </a:r>
        </a:p>
      </xdr:txBody>
    </xdr:sp>
    <xdr:clientData/>
  </xdr:twoCellAnchor>
  <xdr:twoCellAnchor>
    <xdr:from>
      <xdr:col>11</xdr:col>
      <xdr:colOff>449681</xdr:colOff>
      <xdr:row>45</xdr:row>
      <xdr:rowOff>47534</xdr:rowOff>
    </xdr:from>
    <xdr:to>
      <xdr:col>12</xdr:col>
      <xdr:colOff>344181</xdr:colOff>
      <xdr:row>48</xdr:row>
      <xdr:rowOff>156633</xdr:rowOff>
    </xdr:to>
    <xdr:sp macro="" textlink="">
      <xdr:nvSpPr>
        <xdr:cNvPr id="459" name="Ovaal 458">
          <a:extLst>
            <a:ext uri="{FF2B5EF4-FFF2-40B4-BE49-F238E27FC236}">
              <a16:creationId xmlns:a16="http://schemas.microsoft.com/office/drawing/2014/main" id="{3A37FA71-CA9F-9F4D-B227-62D13E9D2207}"/>
            </a:ext>
          </a:extLst>
        </xdr:cNvPr>
        <xdr:cNvSpPr/>
      </xdr:nvSpPr>
      <xdr:spPr>
        <a:xfrm>
          <a:off x="8476081" y="9581001"/>
          <a:ext cx="724233" cy="718699"/>
        </a:xfrm>
        <a:prstGeom prst="ellipse">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twoCellAnchor editAs="oneCell">
    <xdr:from>
      <xdr:col>11</xdr:col>
      <xdr:colOff>553696</xdr:colOff>
      <xdr:row>45</xdr:row>
      <xdr:rowOff>74797</xdr:rowOff>
    </xdr:from>
    <xdr:to>
      <xdr:col>12</xdr:col>
      <xdr:colOff>278467</xdr:colOff>
      <xdr:row>48</xdr:row>
      <xdr:rowOff>67733</xdr:rowOff>
    </xdr:to>
    <xdr:pic>
      <xdr:nvPicPr>
        <xdr:cNvPr id="24" name="Graphic 23" descr="Fabriek met effen opvulling">
          <a:extLst>
            <a:ext uri="{FF2B5EF4-FFF2-40B4-BE49-F238E27FC236}">
              <a16:creationId xmlns:a16="http://schemas.microsoft.com/office/drawing/2014/main" id="{5F796D63-10B0-1743-A8EC-C3E7987428A2}"/>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 uri="{96DAC541-7B7A-43D3-8B79-37D633B846F1}">
              <asvg:svgBlip xmlns:asvg="http://schemas.microsoft.com/office/drawing/2016/SVG/main" r:embed="rId47"/>
            </a:ext>
          </a:extLst>
        </a:blip>
        <a:stretch>
          <a:fillRect/>
        </a:stretch>
      </xdr:blipFill>
      <xdr:spPr>
        <a:xfrm>
          <a:off x="8580096" y="9608264"/>
          <a:ext cx="554504" cy="602536"/>
        </a:xfrm>
        <a:prstGeom prst="rect">
          <a:avLst/>
        </a:prstGeom>
      </xdr:spPr>
    </xdr:pic>
    <xdr:clientData/>
  </xdr:twoCellAnchor>
  <xdr:twoCellAnchor>
    <xdr:from>
      <xdr:col>17</xdr:col>
      <xdr:colOff>575734</xdr:colOff>
      <xdr:row>45</xdr:row>
      <xdr:rowOff>186266</xdr:rowOff>
    </xdr:from>
    <xdr:to>
      <xdr:col>17</xdr:col>
      <xdr:colOff>778934</xdr:colOff>
      <xdr:row>68</xdr:row>
      <xdr:rowOff>0</xdr:rowOff>
    </xdr:to>
    <xdr:sp macro="" textlink="">
      <xdr:nvSpPr>
        <xdr:cNvPr id="460" name="Rechthoek 459">
          <a:extLst>
            <a:ext uri="{FF2B5EF4-FFF2-40B4-BE49-F238E27FC236}">
              <a16:creationId xmlns:a16="http://schemas.microsoft.com/office/drawing/2014/main" id="{E4D3BDC9-9841-C343-B3A4-F507B57A06EF}"/>
            </a:ext>
          </a:extLst>
        </xdr:cNvPr>
        <xdr:cNvSpPr/>
      </xdr:nvSpPr>
      <xdr:spPr>
        <a:xfrm>
          <a:off x="13123334" y="9719733"/>
          <a:ext cx="203200" cy="44704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17</xdr:col>
      <xdr:colOff>796764</xdr:colOff>
      <xdr:row>45</xdr:row>
      <xdr:rowOff>202721</xdr:rowOff>
    </xdr:from>
    <xdr:to>
      <xdr:col>23</xdr:col>
      <xdr:colOff>863597</xdr:colOff>
      <xdr:row>48</xdr:row>
      <xdr:rowOff>0</xdr:rowOff>
    </xdr:to>
    <xdr:sp macro="" textlink="">
      <xdr:nvSpPr>
        <xdr:cNvPr id="462" name="Afgeronde rechthoek 461">
          <a:extLst>
            <a:ext uri="{FF2B5EF4-FFF2-40B4-BE49-F238E27FC236}">
              <a16:creationId xmlns:a16="http://schemas.microsoft.com/office/drawing/2014/main" id="{A356E6C2-6594-E444-A5C8-9C5C18E0A530}"/>
            </a:ext>
          </a:extLst>
        </xdr:cNvPr>
        <xdr:cNvSpPr/>
      </xdr:nvSpPr>
      <xdr:spPr>
        <a:xfrm>
          <a:off x="13344364" y="9736188"/>
          <a:ext cx="4486433" cy="406879"/>
        </a:xfrm>
        <a:prstGeom prst="round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kern="1200"/>
            <a:t>CIRCULAIR</a:t>
          </a:r>
        </a:p>
      </xdr:txBody>
    </xdr:sp>
    <xdr:clientData/>
  </xdr:twoCellAnchor>
  <xdr:twoCellAnchor>
    <xdr:from>
      <xdr:col>17</xdr:col>
      <xdr:colOff>619015</xdr:colOff>
      <xdr:row>45</xdr:row>
      <xdr:rowOff>30601</xdr:rowOff>
    </xdr:from>
    <xdr:to>
      <xdr:col>18</xdr:col>
      <xdr:colOff>445781</xdr:colOff>
      <xdr:row>48</xdr:row>
      <xdr:rowOff>139700</xdr:rowOff>
    </xdr:to>
    <xdr:sp macro="" textlink="">
      <xdr:nvSpPr>
        <xdr:cNvPr id="463" name="Ovaal 462">
          <a:extLst>
            <a:ext uri="{FF2B5EF4-FFF2-40B4-BE49-F238E27FC236}">
              <a16:creationId xmlns:a16="http://schemas.microsoft.com/office/drawing/2014/main" id="{7A7038FE-43AD-F548-9AF4-0DBF923DD40C}"/>
            </a:ext>
          </a:extLst>
        </xdr:cNvPr>
        <xdr:cNvSpPr/>
      </xdr:nvSpPr>
      <xdr:spPr>
        <a:xfrm>
          <a:off x="13140978" y="9609012"/>
          <a:ext cx="728822" cy="714426"/>
        </a:xfrm>
        <a:prstGeom prst="ellipse">
          <a:avLst/>
        </a:prstGeom>
        <a:solidFill>
          <a:schemeClr val="tx2">
            <a:lumMod val="25000"/>
            <a:lumOff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kern="1200"/>
        </a:p>
      </xdr:txBody>
    </xdr:sp>
    <xdr:clientData/>
  </xdr:twoCellAnchor>
  <xdr:oneCellAnchor>
    <xdr:from>
      <xdr:col>17</xdr:col>
      <xdr:colOff>667236</xdr:colOff>
      <xdr:row>45</xdr:row>
      <xdr:rowOff>60137</xdr:rowOff>
    </xdr:from>
    <xdr:ext cx="631566" cy="640396"/>
    <xdr:pic>
      <xdr:nvPicPr>
        <xdr:cNvPr id="501" name="Graphic 60" descr="Cirkel met pijl met effen opvulling">
          <a:extLst>
            <a:ext uri="{FF2B5EF4-FFF2-40B4-BE49-F238E27FC236}">
              <a16:creationId xmlns:a16="http://schemas.microsoft.com/office/drawing/2014/main" id="{D0FA42C3-A6B6-2941-9F13-80E27D4A6973}"/>
            </a:ext>
          </a:extLst>
        </xdr:cNvPr>
        <xdr:cNvPicPr>
          <a:picLocks noChangeAspect="1"/>
        </xdr:cNvPicPr>
      </xdr:nvPicPr>
      <xdr:blipFill>
        <a:blip xmlns:r="http://schemas.openxmlformats.org/officeDocument/2006/relationships" r:embed="rId48">
          <a:extLst>
            <a:ext uri="{96DAC541-7B7A-43D3-8B79-37D633B846F1}">
              <asvg:svgBlip xmlns:asvg="http://schemas.microsoft.com/office/drawing/2016/SVG/main" r:embed="rId49"/>
            </a:ext>
          </a:extLst>
        </a:blip>
        <a:stretch>
          <a:fillRect/>
        </a:stretch>
      </xdr:blipFill>
      <xdr:spPr>
        <a:xfrm>
          <a:off x="13189199" y="9638548"/>
          <a:ext cx="631566" cy="640396"/>
        </a:xfrm>
        <a:prstGeom prst="rect">
          <a:avLst/>
        </a:prstGeom>
      </xdr:spPr>
    </xdr:pic>
    <xdr:clientData/>
  </xdr:oneCellAnchor>
  <xdr:twoCellAnchor>
    <xdr:from>
      <xdr:col>3</xdr:col>
      <xdr:colOff>154013</xdr:colOff>
      <xdr:row>26</xdr:row>
      <xdr:rowOff>76505</xdr:rowOff>
    </xdr:from>
    <xdr:to>
      <xdr:col>7</xdr:col>
      <xdr:colOff>-1</xdr:colOff>
      <xdr:row>28</xdr:row>
      <xdr:rowOff>33330</xdr:rowOff>
    </xdr:to>
    <xdr:sp macro="" textlink="">
      <xdr:nvSpPr>
        <xdr:cNvPr id="467" name="Afgeronde rechthoek 32">
          <a:extLst>
            <a:ext uri="{FF2B5EF4-FFF2-40B4-BE49-F238E27FC236}">
              <a16:creationId xmlns:a16="http://schemas.microsoft.com/office/drawing/2014/main" id="{FE021DF2-7D8F-FC47-8088-CA2CB60668B2}"/>
            </a:ext>
          </a:extLst>
        </xdr:cNvPr>
        <xdr:cNvSpPr/>
      </xdr:nvSpPr>
      <xdr:spPr>
        <a:xfrm>
          <a:off x="2129569" y="5720949"/>
          <a:ext cx="3192335"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400" b="0" i="0" u="none" strike="noStrike" kern="1200" spc="0" baseline="0">
              <a:solidFill>
                <a:srgbClr val="12418A"/>
              </a:solidFill>
              <a:latin typeface="+mn-lt"/>
              <a:ea typeface="+mn-ea"/>
              <a:cs typeface="+mn-cs"/>
            </a:defRPr>
          </a:pPr>
          <a:r>
            <a:rPr lang="nl-NL" sz="1600" b="1" kern="1200">
              <a:solidFill>
                <a:schemeClr val="lt1"/>
              </a:solidFill>
              <a:latin typeface="+mn-lt"/>
              <a:ea typeface="+mn-ea"/>
              <a:cs typeface="+mn-cs"/>
            </a:rPr>
            <a:t>Aandeel</a:t>
          </a:r>
          <a:r>
            <a:rPr lang="nl-NL" sz="1600" b="1" i="0" u="none" strike="noStrike" baseline="0">
              <a:solidFill>
                <a:schemeClr val="lt1"/>
              </a:solidFill>
              <a:latin typeface="+mn-lt"/>
              <a:ea typeface="+mn-ea"/>
              <a:cs typeface="+mn-cs"/>
            </a:rPr>
            <a:t> in totale CO</a:t>
          </a:r>
          <a:r>
            <a:rPr lang="nl-NL" sz="1200" b="1" i="0" u="none" strike="noStrike" baseline="0">
              <a:solidFill>
                <a:schemeClr val="lt1"/>
              </a:solidFill>
              <a:latin typeface="+mn-lt"/>
              <a:ea typeface="+mn-ea"/>
              <a:cs typeface="+mn-cs"/>
            </a:rPr>
            <a:t>2</a:t>
          </a:r>
          <a:r>
            <a:rPr lang="nl-NL" sz="1600" b="1" i="0" u="none" strike="noStrike" baseline="0">
              <a:solidFill>
                <a:schemeClr val="lt1"/>
              </a:solidFill>
              <a:latin typeface="+mn-lt"/>
              <a:ea typeface="+mn-ea"/>
              <a:cs typeface="+mn-cs"/>
            </a:rPr>
            <a:t>-uitstoot</a:t>
          </a:r>
          <a:endParaRPr lang="nl-NL" sz="1600" b="1">
            <a:solidFill>
              <a:schemeClr val="bg1"/>
            </a:solidFill>
          </a:endParaRPr>
        </a:p>
      </xdr:txBody>
    </xdr:sp>
    <xdr:clientData/>
  </xdr:twoCellAnchor>
  <xdr:twoCellAnchor>
    <xdr:from>
      <xdr:col>3</xdr:col>
      <xdr:colOff>165303</xdr:colOff>
      <xdr:row>49</xdr:row>
      <xdr:rowOff>87794</xdr:rowOff>
    </xdr:from>
    <xdr:to>
      <xdr:col>7</xdr:col>
      <xdr:colOff>11289</xdr:colOff>
      <xdr:row>51</xdr:row>
      <xdr:rowOff>44619</xdr:rowOff>
    </xdr:to>
    <xdr:sp macro="" textlink="">
      <xdr:nvSpPr>
        <xdr:cNvPr id="468" name="Afgeronde rechthoek 32">
          <a:extLst>
            <a:ext uri="{FF2B5EF4-FFF2-40B4-BE49-F238E27FC236}">
              <a16:creationId xmlns:a16="http://schemas.microsoft.com/office/drawing/2014/main" id="{9032EEE8-25AB-FE4D-8756-953DAC29356F}"/>
            </a:ext>
          </a:extLst>
        </xdr:cNvPr>
        <xdr:cNvSpPr/>
      </xdr:nvSpPr>
      <xdr:spPr>
        <a:xfrm>
          <a:off x="2140859" y="10368746"/>
          <a:ext cx="3192335"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400" b="0" i="0" u="none" strike="noStrike" kern="1200" spc="0" baseline="0">
              <a:solidFill>
                <a:srgbClr val="12418A"/>
              </a:solidFill>
              <a:latin typeface="+mn-lt"/>
              <a:ea typeface="+mn-ea"/>
              <a:cs typeface="+mn-cs"/>
            </a:defRPr>
          </a:pPr>
          <a:r>
            <a:rPr lang="nl-NL" sz="1600" b="1" kern="1200">
              <a:solidFill>
                <a:schemeClr val="lt1"/>
              </a:solidFill>
              <a:latin typeface="+mn-lt"/>
              <a:ea typeface="+mn-ea"/>
              <a:cs typeface="+mn-cs"/>
            </a:rPr>
            <a:t>Aandeel</a:t>
          </a:r>
          <a:r>
            <a:rPr lang="nl-NL" sz="1600" b="1" i="0" u="none" strike="noStrike" baseline="0">
              <a:solidFill>
                <a:schemeClr val="lt1"/>
              </a:solidFill>
              <a:latin typeface="+mn-lt"/>
              <a:ea typeface="+mn-ea"/>
              <a:cs typeface="+mn-cs"/>
            </a:rPr>
            <a:t> in totale CO</a:t>
          </a:r>
          <a:r>
            <a:rPr lang="nl-NL" sz="1200" b="1" i="0" u="none" strike="noStrike" baseline="0">
              <a:solidFill>
                <a:schemeClr val="lt1"/>
              </a:solidFill>
              <a:latin typeface="+mn-lt"/>
              <a:ea typeface="+mn-ea"/>
              <a:cs typeface="+mn-cs"/>
            </a:rPr>
            <a:t>2</a:t>
          </a:r>
          <a:r>
            <a:rPr lang="nl-NL" sz="1600" b="1" i="0" u="none" strike="noStrike" baseline="0">
              <a:solidFill>
                <a:schemeClr val="lt1"/>
              </a:solidFill>
              <a:latin typeface="+mn-lt"/>
              <a:ea typeface="+mn-ea"/>
              <a:cs typeface="+mn-cs"/>
            </a:rPr>
            <a:t>-uitstoot</a:t>
          </a:r>
          <a:endParaRPr lang="nl-NL" sz="1600" b="1">
            <a:solidFill>
              <a:schemeClr val="bg1"/>
            </a:solidFill>
          </a:endParaRPr>
        </a:p>
      </xdr:txBody>
    </xdr:sp>
    <xdr:clientData/>
  </xdr:twoCellAnchor>
  <xdr:twoCellAnchor>
    <xdr:from>
      <xdr:col>12</xdr:col>
      <xdr:colOff>317702</xdr:colOff>
      <xdr:row>49</xdr:row>
      <xdr:rowOff>78925</xdr:rowOff>
    </xdr:from>
    <xdr:to>
      <xdr:col>16</xdr:col>
      <xdr:colOff>748291</xdr:colOff>
      <xdr:row>51</xdr:row>
      <xdr:rowOff>32525</xdr:rowOff>
    </xdr:to>
    <xdr:sp macro="" textlink="">
      <xdr:nvSpPr>
        <xdr:cNvPr id="469" name="Afgeronde rechthoek 32">
          <a:extLst>
            <a:ext uri="{FF2B5EF4-FFF2-40B4-BE49-F238E27FC236}">
              <a16:creationId xmlns:a16="http://schemas.microsoft.com/office/drawing/2014/main" id="{95AB09AC-1373-E441-8DDC-D620B5B81323}"/>
            </a:ext>
          </a:extLst>
        </xdr:cNvPr>
        <xdr:cNvSpPr/>
      </xdr:nvSpPr>
      <xdr:spPr>
        <a:xfrm>
          <a:off x="9614102" y="10526792"/>
          <a:ext cx="3224589" cy="360000"/>
        </a:xfrm>
        <a:prstGeom prst="roundRect">
          <a:avLst/>
        </a:prstGeom>
        <a:solidFill>
          <a:srgbClr val="FDBF1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400" b="0" i="0" u="none" strike="noStrike" kern="1200" spc="0" baseline="0">
              <a:solidFill>
                <a:srgbClr val="12418A"/>
              </a:solidFill>
              <a:latin typeface="+mn-lt"/>
              <a:ea typeface="+mn-ea"/>
              <a:cs typeface="+mn-cs"/>
            </a:defRPr>
          </a:pPr>
          <a:r>
            <a:rPr lang="nl-NL" sz="1600" b="1" kern="1200">
              <a:solidFill>
                <a:schemeClr val="lt1"/>
              </a:solidFill>
              <a:latin typeface="+mn-lt"/>
              <a:ea typeface="+mn-ea"/>
              <a:cs typeface="+mn-cs"/>
            </a:rPr>
            <a:t>Aandeel</a:t>
          </a:r>
          <a:r>
            <a:rPr lang="nl-NL" sz="1600" b="1" i="0" u="none" strike="noStrike" baseline="0">
              <a:solidFill>
                <a:schemeClr val="lt1"/>
              </a:solidFill>
              <a:latin typeface="+mn-lt"/>
              <a:ea typeface="+mn-ea"/>
              <a:cs typeface="+mn-cs"/>
            </a:rPr>
            <a:t> in totale CO</a:t>
          </a:r>
          <a:r>
            <a:rPr lang="nl-NL" sz="1200" b="1" i="0" u="none" strike="noStrike" baseline="0">
              <a:solidFill>
                <a:schemeClr val="lt1"/>
              </a:solidFill>
              <a:latin typeface="+mn-lt"/>
              <a:ea typeface="+mn-ea"/>
              <a:cs typeface="+mn-cs"/>
            </a:rPr>
            <a:t>2</a:t>
          </a:r>
          <a:r>
            <a:rPr lang="nl-NL" sz="1600" b="1" i="0" u="none" strike="noStrike" baseline="0">
              <a:solidFill>
                <a:schemeClr val="lt1"/>
              </a:solidFill>
              <a:latin typeface="+mn-lt"/>
              <a:ea typeface="+mn-ea"/>
              <a:cs typeface="+mn-cs"/>
            </a:rPr>
            <a:t>-uitstoot</a:t>
          </a:r>
          <a:endParaRPr lang="nl-NL" sz="16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5356334</xdr:colOff>
      <xdr:row>13</xdr:row>
      <xdr:rowOff>90214</xdr:rowOff>
    </xdr:from>
    <xdr:ext cx="65" cy="172098"/>
    <xdr:sp macro="" textlink="">
      <xdr:nvSpPr>
        <xdr:cNvPr id="2" name="Tekstvak 1">
          <a:extLst>
            <a:ext uri="{FF2B5EF4-FFF2-40B4-BE49-F238E27FC236}">
              <a16:creationId xmlns:a16="http://schemas.microsoft.com/office/drawing/2014/main" id="{8FFBF053-6404-E24A-82FA-F8AC525DD60D}"/>
            </a:ext>
          </a:extLst>
        </xdr:cNvPr>
        <xdr:cNvSpPr txBox="1"/>
      </xdr:nvSpPr>
      <xdr:spPr>
        <a:xfrm>
          <a:off x="9915634" y="4065314"/>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oneCellAnchor>
    <xdr:from>
      <xdr:col>2</xdr:col>
      <xdr:colOff>5356334</xdr:colOff>
      <xdr:row>14</xdr:row>
      <xdr:rowOff>90214</xdr:rowOff>
    </xdr:from>
    <xdr:ext cx="65" cy="172098"/>
    <xdr:sp macro="" textlink="">
      <xdr:nvSpPr>
        <xdr:cNvPr id="3" name="Tekstvak 2">
          <a:extLst>
            <a:ext uri="{FF2B5EF4-FFF2-40B4-BE49-F238E27FC236}">
              <a16:creationId xmlns:a16="http://schemas.microsoft.com/office/drawing/2014/main" id="{ACCA6F8A-1152-8142-9E1F-792BFE310403}"/>
            </a:ext>
          </a:extLst>
        </xdr:cNvPr>
        <xdr:cNvSpPr txBox="1"/>
      </xdr:nvSpPr>
      <xdr:spPr>
        <a:xfrm>
          <a:off x="9915634" y="4268514"/>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oneCellAnchor>
    <xdr:from>
      <xdr:col>2</xdr:col>
      <xdr:colOff>5356334</xdr:colOff>
      <xdr:row>13</xdr:row>
      <xdr:rowOff>90214</xdr:rowOff>
    </xdr:from>
    <xdr:ext cx="65" cy="172098"/>
    <xdr:sp macro="" textlink="">
      <xdr:nvSpPr>
        <xdr:cNvPr id="4" name="Tekstvak 3">
          <a:extLst>
            <a:ext uri="{FF2B5EF4-FFF2-40B4-BE49-F238E27FC236}">
              <a16:creationId xmlns:a16="http://schemas.microsoft.com/office/drawing/2014/main" id="{2EB11732-DF87-D04D-9DC2-6302D5BDED12}"/>
            </a:ext>
          </a:extLst>
        </xdr:cNvPr>
        <xdr:cNvSpPr txBox="1"/>
      </xdr:nvSpPr>
      <xdr:spPr>
        <a:xfrm>
          <a:off x="9915634" y="4065314"/>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nl-NL" sz="1100" kern="1200"/>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ureau2030nl.sharepoint.com/sites/bureau2030.nl/Shared%20Documents/General/Klanten%20en%20Prospects/Gemeente%20Beverwijk/CO2%20monitor/Monitor/OUD/Brondata_Beverwijk_V3xlsx.xlsx" TargetMode="External"/><Relationship Id="rId1" Type="http://schemas.openxmlformats.org/officeDocument/2006/relationships/externalLinkPath" Target="https://bureau2030nl.sharepoint.com/sites/bureau2030.nl/Shared%20Documents/General/Klanten%20en%20Prospects/Gemeente%20Beverwijk/CO2%20monitor/Monitor/Update%202025/OUD/Brondata_Beverwijk_V3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onitor"/>
      <sheetName val="Berekeningen"/>
      <sheetName val="Berekening Groene KPI"/>
      <sheetName val="Grafieken"/>
      <sheetName val="Brondata CO2"/>
      <sheetName val="Brondata Energie"/>
      <sheetName val="Brondata Mobiliteit"/>
      <sheetName val="Brondata Woningen"/>
      <sheetName val="Brondata overige broeikasgassen"/>
      <sheetName val="Emissieregistratie"/>
      <sheetName val="Groene KPI's"/>
      <sheetName val="Extra informatie"/>
    </sheetNames>
    <sheetDataSet>
      <sheetData sheetId="0">
        <row r="3">
          <cell r="Z3">
            <v>2022</v>
          </cell>
        </row>
      </sheetData>
      <sheetData sheetId="1">
        <row r="5">
          <cell r="C5">
            <v>101200</v>
          </cell>
          <cell r="D5">
            <v>89100</v>
          </cell>
          <cell r="E5">
            <v>89000</v>
          </cell>
          <cell r="F5">
            <v>78400</v>
          </cell>
          <cell r="G5" t="e">
            <v>#N/A</v>
          </cell>
          <cell r="H5" t="e">
            <v>#N/A</v>
          </cell>
          <cell r="I5" t="e">
            <v>#N/A</v>
          </cell>
          <cell r="J5" t="e">
            <v>#N/A</v>
          </cell>
          <cell r="K5" t="e">
            <v>#N/A</v>
          </cell>
          <cell r="L5" t="e">
            <v>#N/A</v>
          </cell>
          <cell r="M5" t="e">
            <v>#N/A</v>
          </cell>
          <cell r="N5" t="e">
            <v>#N/A</v>
          </cell>
        </row>
        <row r="6">
          <cell r="C6">
            <v>51500</v>
          </cell>
        </row>
        <row r="7">
          <cell r="C7">
            <v>38300.000000000015</v>
          </cell>
        </row>
        <row r="14">
          <cell r="C14">
            <v>2019</v>
          </cell>
          <cell r="D14">
            <v>2020</v>
          </cell>
          <cell r="E14">
            <v>2021</v>
          </cell>
          <cell r="F14">
            <v>2022</v>
          </cell>
          <cell r="G14">
            <v>2023</v>
          </cell>
          <cell r="H14">
            <v>2024</v>
          </cell>
          <cell r="I14">
            <v>2025</v>
          </cell>
          <cell r="J14">
            <v>2026</v>
          </cell>
          <cell r="K14">
            <v>2027</v>
          </cell>
          <cell r="L14">
            <v>2028</v>
          </cell>
          <cell r="M14">
            <v>2029</v>
          </cell>
          <cell r="N14">
            <v>2030</v>
          </cell>
        </row>
        <row r="20">
          <cell r="D20">
            <v>-0.11956521739130435</v>
          </cell>
          <cell r="E20">
            <v>-0.12055335968379446</v>
          </cell>
          <cell r="F20">
            <v>-0.22529644268774704</v>
          </cell>
          <cell r="G20" t="e">
            <v>#N/A</v>
          </cell>
          <cell r="H20" t="e">
            <v>#N/A</v>
          </cell>
          <cell r="I20" t="e">
            <v>#N/A</v>
          </cell>
          <cell r="J20" t="e">
            <v>#N/A</v>
          </cell>
          <cell r="K20" t="e">
            <v>#N/A</v>
          </cell>
          <cell r="L20" t="e">
            <v>#N/A</v>
          </cell>
          <cell r="M20" t="e">
            <v>#N/A</v>
          </cell>
          <cell r="N20" t="e">
            <v>#N/A</v>
          </cell>
        </row>
        <row r="23">
          <cell r="C23">
            <v>2019</v>
          </cell>
          <cell r="D23">
            <v>2020</v>
          </cell>
          <cell r="E23">
            <v>2021</v>
          </cell>
          <cell r="F23">
            <v>2022</v>
          </cell>
          <cell r="G23">
            <v>2023</v>
          </cell>
          <cell r="H23">
            <v>2024</v>
          </cell>
          <cell r="I23">
            <v>2025</v>
          </cell>
          <cell r="J23">
            <v>2026</v>
          </cell>
          <cell r="K23">
            <v>2027</v>
          </cell>
          <cell r="L23">
            <v>2028</v>
          </cell>
          <cell r="M23">
            <v>2029</v>
          </cell>
          <cell r="N23">
            <v>2030</v>
          </cell>
        </row>
        <row r="29">
          <cell r="D29">
            <v>-0.16699029126213591</v>
          </cell>
          <cell r="E29">
            <v>-0.15339805825242719</v>
          </cell>
          <cell r="F29">
            <v>-0.13009708737864079</v>
          </cell>
          <cell r="G29" t="e">
            <v>#N/A</v>
          </cell>
          <cell r="H29" t="e">
            <v>#N/A</v>
          </cell>
          <cell r="I29" t="e">
            <v>#N/A</v>
          </cell>
          <cell r="J29" t="e">
            <v>#N/A</v>
          </cell>
          <cell r="K29" t="e">
            <v>#N/A</v>
          </cell>
          <cell r="L29" t="e">
            <v>#N/A</v>
          </cell>
          <cell r="M29" t="e">
            <v>#N/A</v>
          </cell>
          <cell r="N29" t="e">
            <v>#N/A</v>
          </cell>
        </row>
        <row r="32">
          <cell r="C32">
            <v>2019</v>
          </cell>
          <cell r="D32">
            <v>2020</v>
          </cell>
          <cell r="E32">
            <v>2021</v>
          </cell>
          <cell r="F32">
            <v>2022</v>
          </cell>
          <cell r="G32">
            <v>2023</v>
          </cell>
          <cell r="H32">
            <v>2024</v>
          </cell>
          <cell r="I32">
            <v>2025</v>
          </cell>
          <cell r="J32">
            <v>2026</v>
          </cell>
          <cell r="K32">
            <v>2027</v>
          </cell>
          <cell r="L32">
            <v>2028</v>
          </cell>
          <cell r="M32">
            <v>2029</v>
          </cell>
          <cell r="N32">
            <v>2030</v>
          </cell>
        </row>
        <row r="35">
          <cell r="D35">
            <v>-6.7885117493472563E-2</v>
          </cell>
          <cell r="E35">
            <v>-2.6109660574412524E-2</v>
          </cell>
          <cell r="F35">
            <v>-6.0052219321149181E-2</v>
          </cell>
          <cell r="G35" t="e">
            <v>#N/A</v>
          </cell>
          <cell r="H35" t="e">
            <v>#N/A</v>
          </cell>
          <cell r="I35" t="e">
            <v>#N/A</v>
          </cell>
          <cell r="J35" t="e">
            <v>#N/A</v>
          </cell>
          <cell r="K35" t="e">
            <v>#N/A</v>
          </cell>
          <cell r="L35" t="e">
            <v>#N/A</v>
          </cell>
          <cell r="M35" t="e">
            <v>#N/A</v>
          </cell>
          <cell r="N35" t="e">
            <v>#N/A</v>
          </cell>
        </row>
        <row r="46">
          <cell r="C46">
            <v>2726</v>
          </cell>
          <cell r="D46">
            <v>2518</v>
          </cell>
          <cell r="E46">
            <v>2517</v>
          </cell>
          <cell r="F46">
            <v>2323</v>
          </cell>
          <cell r="G46" t="e">
            <v>#N/A</v>
          </cell>
          <cell r="H46" t="e">
            <v>#N/A</v>
          </cell>
          <cell r="I46" t="e">
            <v>#N/A</v>
          </cell>
          <cell r="J46" t="e">
            <v>#N/A</v>
          </cell>
          <cell r="K46" t="e">
            <v>#N/A</v>
          </cell>
          <cell r="L46" t="e">
            <v>#N/A</v>
          </cell>
          <cell r="M46" t="e">
            <v>#N/A</v>
          </cell>
          <cell r="N46" t="e">
            <v>#N/A</v>
          </cell>
        </row>
        <row r="47">
          <cell r="C47">
            <v>108</v>
          </cell>
          <cell r="D47">
            <v>105</v>
          </cell>
          <cell r="E47">
            <v>118</v>
          </cell>
          <cell r="F47">
            <v>139</v>
          </cell>
          <cell r="G47" t="e">
            <v>#N/A</v>
          </cell>
          <cell r="H47" t="e">
            <v>#N/A</v>
          </cell>
          <cell r="I47" t="e">
            <v>#N/A</v>
          </cell>
          <cell r="J47" t="e">
            <v>#N/A</v>
          </cell>
          <cell r="K47" t="e">
            <v>#N/A</v>
          </cell>
          <cell r="L47" t="e">
            <v>#N/A</v>
          </cell>
          <cell r="M47" t="e">
            <v>#N/A</v>
          </cell>
          <cell r="N47" t="e">
            <v>#N/A</v>
          </cell>
        </row>
        <row r="48">
          <cell r="C48">
            <v>27</v>
          </cell>
          <cell r="D48">
            <v>38</v>
          </cell>
          <cell r="E48">
            <v>42</v>
          </cell>
          <cell r="F48">
            <v>64</v>
          </cell>
          <cell r="G48" t="e">
            <v>#N/A</v>
          </cell>
          <cell r="H48" t="e">
            <v>#N/A</v>
          </cell>
          <cell r="I48" t="e">
            <v>#N/A</v>
          </cell>
          <cell r="J48" t="e">
            <v>#N/A</v>
          </cell>
          <cell r="K48" t="e">
            <v>#N/A</v>
          </cell>
          <cell r="L48" t="e">
            <v>#N/A</v>
          </cell>
          <cell r="M48" t="e">
            <v>#N/A</v>
          </cell>
          <cell r="N48" t="e">
            <v>#N/A</v>
          </cell>
        </row>
        <row r="49">
          <cell r="C49">
            <v>29</v>
          </cell>
          <cell r="D49">
            <v>25</v>
          </cell>
          <cell r="E49">
            <v>27</v>
          </cell>
          <cell r="F49">
            <v>29</v>
          </cell>
          <cell r="G49" t="e">
            <v>#N/A</v>
          </cell>
          <cell r="H49" t="e">
            <v>#N/A</v>
          </cell>
          <cell r="I49" t="e">
            <v>#N/A</v>
          </cell>
          <cell r="J49" t="e">
            <v>#N/A</v>
          </cell>
          <cell r="K49" t="e">
            <v>#N/A</v>
          </cell>
          <cell r="L49" t="e">
            <v>#N/A</v>
          </cell>
          <cell r="M49" t="e">
            <v>#N/A</v>
          </cell>
          <cell r="N49" t="e">
            <v>#N/A</v>
          </cell>
        </row>
        <row r="50">
          <cell r="C50">
            <v>53</v>
          </cell>
          <cell r="D50">
            <v>43</v>
          </cell>
          <cell r="E50">
            <v>49</v>
          </cell>
          <cell r="F50">
            <v>46</v>
          </cell>
          <cell r="G50" t="e">
            <v>#N/A</v>
          </cell>
          <cell r="H50" t="e">
            <v>#N/A</v>
          </cell>
          <cell r="I50" t="e">
            <v>#N/A</v>
          </cell>
          <cell r="J50" t="e">
            <v>#N/A</v>
          </cell>
          <cell r="K50" t="e">
            <v>#N/A</v>
          </cell>
          <cell r="L50" t="e">
            <v>#N/A</v>
          </cell>
          <cell r="M50" t="e">
            <v>#N/A</v>
          </cell>
          <cell r="N50" t="e">
            <v>#N/A</v>
          </cell>
        </row>
        <row r="54">
          <cell r="C54">
            <v>2019</v>
          </cell>
          <cell r="D54">
            <v>2020</v>
          </cell>
          <cell r="E54">
            <v>2021</v>
          </cell>
          <cell r="F54">
            <v>2022</v>
          </cell>
          <cell r="G54">
            <v>2023</v>
          </cell>
          <cell r="H54">
            <v>2024</v>
          </cell>
          <cell r="I54">
            <v>2025</v>
          </cell>
          <cell r="J54">
            <v>2026</v>
          </cell>
          <cell r="K54">
            <v>2027</v>
          </cell>
          <cell r="L54">
            <v>2028</v>
          </cell>
          <cell r="M54">
            <v>2029</v>
          </cell>
          <cell r="N54">
            <v>2030</v>
          </cell>
        </row>
        <row r="55">
          <cell r="C55">
            <v>22</v>
          </cell>
          <cell r="D55">
            <v>34</v>
          </cell>
          <cell r="E55">
            <v>39</v>
          </cell>
          <cell r="F55">
            <v>61</v>
          </cell>
          <cell r="G55" t="e">
            <v>#N/A</v>
          </cell>
          <cell r="H55" t="e">
            <v>#N/A</v>
          </cell>
          <cell r="I55" t="e">
            <v>#N/A</v>
          </cell>
          <cell r="J55" t="e">
            <v>#N/A</v>
          </cell>
          <cell r="K55" t="e">
            <v>#N/A</v>
          </cell>
          <cell r="L55" t="e">
            <v>#N/A</v>
          </cell>
          <cell r="M55" t="e">
            <v>#N/A</v>
          </cell>
          <cell r="N55" t="e">
            <v>#N/A</v>
          </cell>
        </row>
        <row r="67">
          <cell r="C67">
            <v>211</v>
          </cell>
          <cell r="D67">
            <v>337</v>
          </cell>
          <cell r="E67">
            <v>503</v>
          </cell>
          <cell r="F67">
            <v>672</v>
          </cell>
          <cell r="G67" t="e">
            <v>#N/A</v>
          </cell>
          <cell r="H67" t="e">
            <v>#N/A</v>
          </cell>
          <cell r="I67" t="e">
            <v>#N/A</v>
          </cell>
          <cell r="J67" t="e">
            <v>#N/A</v>
          </cell>
          <cell r="K67" t="e">
            <v>#N/A</v>
          </cell>
          <cell r="L67" t="e">
            <v>#N/A</v>
          </cell>
          <cell r="M67" t="e">
            <v>#N/A</v>
          </cell>
          <cell r="N67" t="e">
            <v>#N/A</v>
          </cell>
        </row>
        <row r="68">
          <cell r="C68">
            <v>156</v>
          </cell>
          <cell r="D68">
            <v>179</v>
          </cell>
          <cell r="E68">
            <v>279</v>
          </cell>
          <cell r="F68">
            <v>375</v>
          </cell>
          <cell r="G68" t="e">
            <v>#N/A</v>
          </cell>
          <cell r="H68" t="e">
            <v>#N/A</v>
          </cell>
          <cell r="I68" t="e">
            <v>#N/A</v>
          </cell>
          <cell r="J68" t="e">
            <v>#N/A</v>
          </cell>
          <cell r="K68" t="e">
            <v>#N/A</v>
          </cell>
          <cell r="L68" t="e">
            <v>#N/A</v>
          </cell>
          <cell r="M68" t="e">
            <v>#N/A</v>
          </cell>
          <cell r="N68" t="e">
            <v>#N/A</v>
          </cell>
        </row>
        <row r="69">
          <cell r="C69">
            <v>0</v>
          </cell>
          <cell r="D69">
            <v>0</v>
          </cell>
          <cell r="E69">
            <v>0</v>
          </cell>
          <cell r="F69">
            <v>1</v>
          </cell>
          <cell r="G69" t="e">
            <v>#N/A</v>
          </cell>
          <cell r="H69" t="e">
            <v>#N/A</v>
          </cell>
          <cell r="I69" t="e">
            <v>#N/A</v>
          </cell>
          <cell r="J69" t="e">
            <v>#N/A</v>
          </cell>
          <cell r="K69" t="e">
            <v>#N/A</v>
          </cell>
          <cell r="L69" t="e">
            <v>#N/A</v>
          </cell>
          <cell r="M69" t="e">
            <v>#N/A</v>
          </cell>
          <cell r="N69" t="e">
            <v>#N/A</v>
          </cell>
        </row>
        <row r="70">
          <cell r="C70">
            <v>22</v>
          </cell>
          <cell r="D70">
            <v>20</v>
          </cell>
          <cell r="E70">
            <v>16</v>
          </cell>
          <cell r="F70">
            <v>17</v>
          </cell>
          <cell r="G70" t="e">
            <v>#N/A</v>
          </cell>
          <cell r="H70" t="e">
            <v>#N/A</v>
          </cell>
          <cell r="I70" t="e">
            <v>#N/A</v>
          </cell>
          <cell r="J70" t="e">
            <v>#N/A</v>
          </cell>
          <cell r="K70" t="e">
            <v>#N/A</v>
          </cell>
          <cell r="L70" t="e">
            <v>#N/A</v>
          </cell>
          <cell r="M70" t="e">
            <v>#N/A</v>
          </cell>
          <cell r="N70" t="e">
            <v>#N/A</v>
          </cell>
        </row>
        <row r="71">
          <cell r="C71">
            <v>21540</v>
          </cell>
          <cell r="D71">
            <v>22046</v>
          </cell>
          <cell r="E71">
            <v>22431</v>
          </cell>
          <cell r="F71">
            <v>22877</v>
          </cell>
          <cell r="G71" t="e">
            <v>#N/A</v>
          </cell>
          <cell r="H71" t="e">
            <v>#N/A</v>
          </cell>
          <cell r="I71" t="e">
            <v>#N/A</v>
          </cell>
          <cell r="J71" t="e">
            <v>#N/A</v>
          </cell>
          <cell r="K71" t="e">
            <v>#N/A</v>
          </cell>
          <cell r="L71" t="e">
            <v>#N/A</v>
          </cell>
          <cell r="M71" t="e">
            <v>#N/A</v>
          </cell>
          <cell r="N71" t="e">
            <v>#N/A</v>
          </cell>
        </row>
        <row r="72">
          <cell r="C72">
            <v>389</v>
          </cell>
          <cell r="D72">
            <v>536</v>
          </cell>
          <cell r="E72">
            <v>798</v>
          </cell>
          <cell r="F72">
            <v>1065</v>
          </cell>
          <cell r="G72" t="e">
            <v>#N/A</v>
          </cell>
          <cell r="H72" t="e">
            <v>#N/A</v>
          </cell>
          <cell r="I72" t="e">
            <v>#N/A</v>
          </cell>
          <cell r="J72" t="e">
            <v>#N/A</v>
          </cell>
          <cell r="K72" t="e">
            <v>#N/A</v>
          </cell>
          <cell r="L72" t="e">
            <v>#N/A</v>
          </cell>
          <cell r="M72" t="e">
            <v>#N/A</v>
          </cell>
          <cell r="N72" t="e">
            <v>#N/A</v>
          </cell>
        </row>
        <row r="73">
          <cell r="C73">
            <v>21151</v>
          </cell>
          <cell r="D73">
            <v>21510</v>
          </cell>
          <cell r="E73">
            <v>21633</v>
          </cell>
          <cell r="F73">
            <v>21812</v>
          </cell>
          <cell r="G73" t="e">
            <v>#N/A</v>
          </cell>
          <cell r="H73" t="e">
            <v>#N/A</v>
          </cell>
          <cell r="I73" t="e">
            <v>#N/A</v>
          </cell>
          <cell r="J73" t="e">
            <v>#N/A</v>
          </cell>
          <cell r="K73" t="e">
            <v>#N/A</v>
          </cell>
          <cell r="L73" t="e">
            <v>#N/A</v>
          </cell>
          <cell r="M73" t="e">
            <v>#N/A</v>
          </cell>
          <cell r="N73" t="e">
            <v>#N/A</v>
          </cell>
        </row>
        <row r="76">
          <cell r="C76">
            <v>2019</v>
          </cell>
          <cell r="D76">
            <v>2020</v>
          </cell>
          <cell r="E76">
            <v>2021</v>
          </cell>
          <cell r="F76">
            <v>2022</v>
          </cell>
          <cell r="G76">
            <v>2023</v>
          </cell>
          <cell r="H76">
            <v>2024</v>
          </cell>
          <cell r="I76">
            <v>2025</v>
          </cell>
          <cell r="J76">
            <v>2026</v>
          </cell>
          <cell r="K76">
            <v>2027</v>
          </cell>
          <cell r="L76">
            <v>2028</v>
          </cell>
          <cell r="M76">
            <v>2029</v>
          </cell>
          <cell r="N76">
            <v>2030</v>
          </cell>
        </row>
        <row r="81">
          <cell r="C81">
            <v>110</v>
          </cell>
          <cell r="D81">
            <v>112</v>
          </cell>
          <cell r="E81">
            <v>137</v>
          </cell>
          <cell r="F81">
            <v>173</v>
          </cell>
          <cell r="G81" t="e">
            <v>#N/A</v>
          </cell>
          <cell r="H81" t="e">
            <v>#N/A</v>
          </cell>
          <cell r="I81" t="e">
            <v>#N/A</v>
          </cell>
          <cell r="J81" t="e">
            <v>#N/A</v>
          </cell>
          <cell r="K81" t="e">
            <v>#N/A</v>
          </cell>
          <cell r="L81" t="e">
            <v>#N/A</v>
          </cell>
          <cell r="M81" t="e">
            <v>#N/A</v>
          </cell>
          <cell r="N81" t="e">
            <v>#N/A</v>
          </cell>
        </row>
        <row r="100">
          <cell r="C100">
            <v>18470</v>
          </cell>
          <cell r="D100">
            <v>18704</v>
          </cell>
          <cell r="E100">
            <v>18789</v>
          </cell>
          <cell r="F100">
            <v>19059</v>
          </cell>
          <cell r="G100" t="e">
            <v>#N/A</v>
          </cell>
          <cell r="H100" t="e">
            <v>#N/A</v>
          </cell>
          <cell r="I100" t="e">
            <v>#N/A</v>
          </cell>
          <cell r="J100" t="e">
            <v>#N/A</v>
          </cell>
          <cell r="K100" t="e">
            <v>#N/A</v>
          </cell>
          <cell r="L100" t="e">
            <v>#N/A</v>
          </cell>
          <cell r="M100" t="e">
            <v>#N/A</v>
          </cell>
          <cell r="N100" t="e">
            <v>#N/A</v>
          </cell>
        </row>
        <row r="101">
          <cell r="C101">
            <v>0</v>
          </cell>
          <cell r="D101">
            <v>0</v>
          </cell>
          <cell r="E101">
            <v>0</v>
          </cell>
          <cell r="F101">
            <v>0</v>
          </cell>
          <cell r="G101" t="e">
            <v>#N/A</v>
          </cell>
          <cell r="H101" t="e">
            <v>#N/A</v>
          </cell>
          <cell r="I101" t="e">
            <v>#N/A</v>
          </cell>
          <cell r="J101" t="e">
            <v>#N/A</v>
          </cell>
          <cell r="K101" t="e">
            <v>#N/A</v>
          </cell>
          <cell r="L101" t="e">
            <v>#N/A</v>
          </cell>
          <cell r="M101" t="e">
            <v>#N/A</v>
          </cell>
          <cell r="N101" t="e">
            <v>#N/A</v>
          </cell>
        </row>
        <row r="102">
          <cell r="C102">
            <v>135</v>
          </cell>
          <cell r="D102">
            <v>194</v>
          </cell>
          <cell r="E102">
            <v>215</v>
          </cell>
          <cell r="F102">
            <v>393</v>
          </cell>
          <cell r="G102" t="e">
            <v>#N/A</v>
          </cell>
          <cell r="H102" t="e">
            <v>#N/A</v>
          </cell>
          <cell r="I102" t="e">
            <v>#N/A</v>
          </cell>
          <cell r="J102" t="e">
            <v>#N/A</v>
          </cell>
          <cell r="K102" t="e">
            <v>#N/A</v>
          </cell>
          <cell r="L102" t="e">
            <v>#N/A</v>
          </cell>
          <cell r="M102" t="e">
            <v>#N/A</v>
          </cell>
          <cell r="N102" t="e">
            <v>#N/A</v>
          </cell>
        </row>
        <row r="103">
          <cell r="C103">
            <v>675</v>
          </cell>
          <cell r="D103">
            <v>504</v>
          </cell>
          <cell r="E103">
            <v>507</v>
          </cell>
          <cell r="F103">
            <v>177</v>
          </cell>
          <cell r="G103" t="e">
            <v>#N/A</v>
          </cell>
          <cell r="H103" t="e">
            <v>#N/A</v>
          </cell>
          <cell r="I103" t="e">
            <v>#N/A</v>
          </cell>
          <cell r="J103" t="e">
            <v>#N/A</v>
          </cell>
          <cell r="K103" t="e">
            <v>#N/A</v>
          </cell>
          <cell r="L103" t="e">
            <v>#N/A</v>
          </cell>
          <cell r="M103" t="e">
            <v>#N/A</v>
          </cell>
          <cell r="N103" t="e">
            <v>#N/A</v>
          </cell>
        </row>
      </sheetData>
      <sheetData sheetId="2">
        <row r="5">
          <cell r="B5" t="str">
            <v>Beijnes</v>
          </cell>
        </row>
      </sheetData>
      <sheetData sheetId="3"/>
      <sheetData sheetId="4">
        <row r="8">
          <cell r="C8">
            <v>2019</v>
          </cell>
          <cell r="D8">
            <v>2020</v>
          </cell>
          <cell r="E8">
            <v>2021</v>
          </cell>
          <cell r="F8">
            <v>2022</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Bureau 2030 - 2023">
  <a:themeElements>
    <a:clrScheme name="Beverwijk">
      <a:dk1>
        <a:srgbClr val="101315"/>
      </a:dk1>
      <a:lt1>
        <a:srgbClr val="FFFFFF"/>
      </a:lt1>
      <a:dk2>
        <a:srgbClr val="0E2841"/>
      </a:dk2>
      <a:lt2>
        <a:srgbClr val="E8E8E8"/>
      </a:lt2>
      <a:accent1>
        <a:srgbClr val="CF282A"/>
      </a:accent1>
      <a:accent2>
        <a:srgbClr val="12418A"/>
      </a:accent2>
      <a:accent3>
        <a:srgbClr val="4C2023"/>
      </a:accent3>
      <a:accent4>
        <a:srgbClr val="85755F"/>
      </a:accent4>
      <a:accent5>
        <a:srgbClr val="2CC2F2"/>
      </a:accent5>
      <a:accent6>
        <a:srgbClr val="D1DD27"/>
      </a:accent6>
      <a:hlink>
        <a:srgbClr val="12418A"/>
      </a:hlink>
      <a:folHlink>
        <a:srgbClr val="96607D"/>
      </a:folHlink>
    </a:clrScheme>
    <a:fontScheme name="Kantoorthem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th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Bureau 2030 - 2023" id="{5BC83268-D0CA-4542-992E-3DB7DE3EF06F}" vid="{16B01CCF-83BF-DE49-B556-7EFEEFBA5408}"/>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klimaatmonitor.databank.nl/Jive?workspace_guid=99729052-1bf4-46ec-8b41-71855eeb1305"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klimaatmonitor.databank.nl/Jive?workspace_guid=49be9a11-85a8-4ad5-a4f5-00dfcde3c395" TargetMode="External"/><Relationship Id="rId1" Type="http://schemas.openxmlformats.org/officeDocument/2006/relationships/hyperlink" Target="https://klimaatmonitor.databank.nl/Jive?workspace_guid=b4e1db78-ad6c-4af2-b00e-a377f59be716"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waarstaatjegemeente.nl/viewer?workspace_guid=5031c6be-f616-47ae-a3ff-95e8798727b6"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klimaatmonitor.databank.nl/Jive?workspace_guid=ebb6dd76-c73d-4a6a-94cd-e47391a9394d"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1AD8-6BB7-A04A-9000-97EFAAC086EB}">
  <sheetPr codeName="Blad1">
    <tabColor theme="7" tint="0.59999389629810485"/>
  </sheetPr>
  <dimension ref="B2:D24"/>
  <sheetViews>
    <sheetView zoomScale="116" workbookViewId="0">
      <selection activeCell="F11" sqref="F11"/>
    </sheetView>
  </sheetViews>
  <sheetFormatPr defaultColWidth="10.8984375" defaultRowHeight="15.6"/>
  <cols>
    <col min="1" max="1" width="10.8984375" style="112"/>
    <col min="2" max="2" width="20.09765625" style="112" customWidth="1"/>
    <col min="3" max="3" width="28.8984375" style="112" customWidth="1"/>
    <col min="4" max="4" width="104.8984375" style="112" customWidth="1"/>
    <col min="5" max="16384" width="10.8984375" style="112"/>
  </cols>
  <sheetData>
    <row r="2" spans="2:4" ht="18">
      <c r="B2" s="128" t="s">
        <v>575</v>
      </c>
      <c r="C2" s="128"/>
      <c r="D2" s="127"/>
    </row>
    <row r="3" spans="2:4">
      <c r="B3" s="126"/>
      <c r="C3" s="126"/>
      <c r="D3" s="126"/>
    </row>
    <row r="4" spans="2:4">
      <c r="B4" s="125" t="s">
        <v>572</v>
      </c>
      <c r="C4" s="124"/>
      <c r="D4" s="123"/>
    </row>
    <row r="5" spans="2:4" ht="15.9" customHeight="1">
      <c r="B5" s="234" t="s">
        <v>647</v>
      </c>
      <c r="C5" s="235"/>
      <c r="D5" s="236"/>
    </row>
    <row r="6" spans="2:4">
      <c r="B6" s="237"/>
      <c r="C6" s="238"/>
      <c r="D6" s="239"/>
    </row>
    <row r="7" spans="2:4">
      <c r="B7" s="237"/>
      <c r="C7" s="238"/>
      <c r="D7" s="239"/>
    </row>
    <row r="8" spans="2:4" ht="15.9" customHeight="1">
      <c r="B8" s="237"/>
      <c r="C8" s="238"/>
      <c r="D8" s="239"/>
    </row>
    <row r="9" spans="2:4">
      <c r="B9" s="237"/>
      <c r="C9" s="238"/>
      <c r="D9" s="239"/>
    </row>
    <row r="10" spans="2:4">
      <c r="B10" s="240"/>
      <c r="C10" s="241"/>
      <c r="D10" s="242"/>
    </row>
    <row r="12" spans="2:4">
      <c r="B12" s="122" t="s">
        <v>574</v>
      </c>
      <c r="C12" s="121"/>
      <c r="D12" s="120"/>
    </row>
    <row r="13" spans="2:4">
      <c r="B13" s="119" t="s">
        <v>573</v>
      </c>
      <c r="C13" s="118" t="s">
        <v>572</v>
      </c>
      <c r="D13" s="117" t="s">
        <v>571</v>
      </c>
    </row>
    <row r="14" spans="2:4">
      <c r="B14" s="115" t="s">
        <v>570</v>
      </c>
      <c r="C14" s="114" t="s">
        <v>645</v>
      </c>
      <c r="D14" s="189" t="s">
        <v>646</v>
      </c>
    </row>
    <row r="15" spans="2:4" ht="18.600000000000001">
      <c r="B15" s="115" t="s">
        <v>568</v>
      </c>
      <c r="C15" s="114" t="s">
        <v>569</v>
      </c>
      <c r="D15" s="116" t="s">
        <v>608</v>
      </c>
    </row>
    <row r="16" spans="2:4">
      <c r="B16" s="115" t="s">
        <v>566</v>
      </c>
      <c r="C16" s="114" t="s">
        <v>567</v>
      </c>
      <c r="D16" s="116" t="s">
        <v>613</v>
      </c>
    </row>
    <row r="17" spans="2:4">
      <c r="B17" s="115" t="s">
        <v>565</v>
      </c>
      <c r="C17" s="114" t="s">
        <v>611</v>
      </c>
      <c r="D17" s="116" t="s">
        <v>614</v>
      </c>
    </row>
    <row r="18" spans="2:4" ht="18.600000000000001">
      <c r="B18" s="115" t="s">
        <v>562</v>
      </c>
      <c r="C18" s="114" t="s">
        <v>606</v>
      </c>
      <c r="D18" s="116" t="s">
        <v>607</v>
      </c>
    </row>
    <row r="19" spans="2:4">
      <c r="B19" s="115" t="s">
        <v>559</v>
      </c>
      <c r="C19" s="114" t="s">
        <v>564</v>
      </c>
      <c r="D19" s="116" t="s">
        <v>563</v>
      </c>
    </row>
    <row r="20" spans="2:4">
      <c r="B20" s="115" t="s">
        <v>556</v>
      </c>
      <c r="C20" s="114" t="s">
        <v>561</v>
      </c>
      <c r="D20" s="116" t="s">
        <v>560</v>
      </c>
    </row>
    <row r="21" spans="2:4">
      <c r="B21" s="115" t="s">
        <v>554</v>
      </c>
      <c r="C21" s="114" t="s">
        <v>558</v>
      </c>
      <c r="D21" s="116" t="s">
        <v>557</v>
      </c>
    </row>
    <row r="22" spans="2:4">
      <c r="B22" s="115" t="s">
        <v>609</v>
      </c>
      <c r="C22" s="114" t="s">
        <v>589</v>
      </c>
      <c r="D22" s="116" t="s">
        <v>555</v>
      </c>
    </row>
    <row r="23" spans="2:4">
      <c r="B23" s="115" t="s">
        <v>610</v>
      </c>
      <c r="C23" s="114" t="s">
        <v>605</v>
      </c>
      <c r="D23" s="116" t="s">
        <v>621</v>
      </c>
    </row>
    <row r="24" spans="2:4">
      <c r="B24" s="115" t="s">
        <v>656</v>
      </c>
      <c r="C24" s="114" t="s">
        <v>553</v>
      </c>
      <c r="D24" s="113" t="s">
        <v>552</v>
      </c>
    </row>
  </sheetData>
  <sheetProtection algorithmName="SHA-512" hashValue="MKwpXQoOaMcJgcdqVGfbE9NdSrMehmlYQQj3Iwi5NX7UVArVbVJqYcjfTwzORgQ9LdQ0Z+MqrrfzxgjIoe9Ivw==" saltValue="zOo7AeffqeLZUJXX6r2gBA==" spinCount="100000" sheet="1" objects="1" scenarios="1"/>
  <mergeCells count="1">
    <mergeCell ref="B5:D10"/>
  </mergeCells>
  <phoneticPr fontId="15" type="noConversion"/>
  <hyperlinks>
    <hyperlink ref="B15" location="Monitor!A1" display="Tabblad 2" xr:uid="{24BE61C3-7936-FA41-B668-A107213CA028}"/>
    <hyperlink ref="B16" location="Berekeningen!A1" display="Tabblad 3" xr:uid="{7DE690B2-C5B8-F14B-8505-7E5D69D1D43D}"/>
    <hyperlink ref="B17" location="'Berekeningen Groene KPI''s'!A1" display="Tabblad 4" xr:uid="{470E78B4-0F8A-1C49-A3EA-8FF467404EF4}"/>
    <hyperlink ref="B24" location="Instructie!A1" display="Tabblad 11" xr:uid="{46B1E63C-68A5-A042-B84E-28AEF1C8DC8B}"/>
    <hyperlink ref="B18" location="'Brondata CO2'!A1" display="Tabblad 5" xr:uid="{CADF4C24-5B31-D94D-B77D-F76F1C3EC98C}"/>
    <hyperlink ref="B19" location="'Brondata Energie'!A1" display="Tabblad 6" xr:uid="{2C25A03A-099F-794D-9DF3-6D41769CF404}"/>
    <hyperlink ref="B20" location="'Brondata Mobiliteit'!A1" display="Tabblad 7" xr:uid="{49C9D2C7-EABC-BA44-95E0-72087901E121}"/>
    <hyperlink ref="B21" location="'Brondata Woningen'!A1" display="Tabblad 8" xr:uid="{862EA739-A219-4B44-B83A-1E8C392F4F7F}"/>
    <hyperlink ref="B22" location="'Brondata Overige broeikasgassen'!A1" display="Tabblad 9" xr:uid="{A8197C5C-D9D5-0943-A340-5E095E77EDE2}"/>
    <hyperlink ref="B23" location="'Brondata Groene KPI''s'!A1" display="Tabblad 10" xr:uid="{ACD25E5D-EB61-C245-AFBF-62CC283116D6}"/>
    <hyperlink ref="B14" location="'Invloedssfeer &amp; Scope'!A1" display="Tabblad 2" xr:uid="{A3BC95E2-7905-7B4D-9E17-7E201431E44F}"/>
  </hyperlink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39B1-61DD-084F-B044-65D17C7F94B6}">
  <sheetPr codeName="Blad2">
    <tabColor theme="7" tint="0.59999389629810485"/>
  </sheetPr>
  <dimension ref="B2:AA40"/>
  <sheetViews>
    <sheetView zoomScale="75" workbookViewId="0">
      <selection activeCell="G40" sqref="G40"/>
    </sheetView>
  </sheetViews>
  <sheetFormatPr defaultColWidth="10.8984375" defaultRowHeight="15.6"/>
  <cols>
    <col min="1" max="1" width="4.8984375" style="112" customWidth="1"/>
    <col min="2" max="16384" width="10.8984375" style="112"/>
  </cols>
  <sheetData>
    <row r="2" spans="2:27" ht="16.2" thickBot="1"/>
    <row r="3" spans="2:27" ht="21">
      <c r="B3" s="243" t="s">
        <v>648</v>
      </c>
      <c r="C3" s="244"/>
      <c r="D3" s="244"/>
      <c r="E3" s="244"/>
      <c r="F3" s="244"/>
      <c r="G3" s="244"/>
      <c r="H3" s="244"/>
      <c r="I3" s="244"/>
      <c r="J3" s="244"/>
      <c r="K3" s="245"/>
      <c r="M3" s="243" t="s">
        <v>654</v>
      </c>
      <c r="N3" s="244"/>
      <c r="O3" s="244"/>
      <c r="P3" s="244"/>
      <c r="Q3" s="244"/>
      <c r="R3" s="244"/>
      <c r="S3" s="244"/>
      <c r="T3" s="244"/>
      <c r="U3" s="244"/>
      <c r="V3" s="244"/>
      <c r="W3" s="244"/>
      <c r="X3" s="244"/>
      <c r="Y3" s="244"/>
      <c r="Z3" s="244"/>
      <c r="AA3" s="245"/>
    </row>
    <row r="4" spans="2:27">
      <c r="B4" s="196"/>
      <c r="K4" s="197"/>
      <c r="M4" s="196"/>
      <c r="AA4" s="197"/>
    </row>
    <row r="5" spans="2:27">
      <c r="B5" s="196"/>
      <c r="K5" s="197"/>
      <c r="M5" s="196"/>
      <c r="AA5" s="197"/>
    </row>
    <row r="6" spans="2:27">
      <c r="B6" s="196"/>
      <c r="K6" s="197"/>
      <c r="M6" s="196"/>
      <c r="AA6" s="197"/>
    </row>
    <row r="7" spans="2:27">
      <c r="B7" s="196"/>
      <c r="K7" s="197"/>
      <c r="M7" s="196"/>
      <c r="AA7" s="197"/>
    </row>
    <row r="8" spans="2:27">
      <c r="B8" s="196"/>
      <c r="K8" s="197"/>
      <c r="M8" s="196"/>
      <c r="AA8" s="197"/>
    </row>
    <row r="9" spans="2:27">
      <c r="B9" s="196"/>
      <c r="K9" s="197"/>
      <c r="M9" s="196"/>
      <c r="AA9" s="197"/>
    </row>
    <row r="10" spans="2:27">
      <c r="B10" s="196"/>
      <c r="K10" s="197"/>
      <c r="M10" s="196"/>
      <c r="AA10" s="197"/>
    </row>
    <row r="11" spans="2:27">
      <c r="B11" s="196"/>
      <c r="K11" s="197"/>
      <c r="M11" s="196"/>
      <c r="AA11" s="197"/>
    </row>
    <row r="12" spans="2:27">
      <c r="B12" s="196"/>
      <c r="K12" s="197"/>
      <c r="M12" s="196"/>
      <c r="AA12" s="197"/>
    </row>
    <row r="13" spans="2:27">
      <c r="B13" s="196"/>
      <c r="K13" s="197"/>
      <c r="M13" s="196"/>
      <c r="AA13" s="197"/>
    </row>
    <row r="14" spans="2:27">
      <c r="B14" s="196"/>
      <c r="K14" s="197"/>
      <c r="M14" s="196"/>
      <c r="AA14" s="197"/>
    </row>
    <row r="15" spans="2:27">
      <c r="B15" s="196"/>
      <c r="K15" s="197"/>
      <c r="M15" s="196"/>
      <c r="AA15" s="197"/>
    </row>
    <row r="16" spans="2:27">
      <c r="B16" s="196"/>
      <c r="K16" s="197"/>
      <c r="M16" s="196"/>
      <c r="AA16" s="197"/>
    </row>
    <row r="17" spans="2:27">
      <c r="B17" s="196"/>
      <c r="K17" s="197"/>
      <c r="M17" s="196"/>
      <c r="AA17" s="197"/>
    </row>
    <row r="18" spans="2:27">
      <c r="B18" s="196"/>
      <c r="K18" s="197"/>
      <c r="M18" s="196"/>
      <c r="AA18" s="197"/>
    </row>
    <row r="19" spans="2:27">
      <c r="B19" s="196"/>
      <c r="K19" s="197"/>
      <c r="M19" s="196"/>
      <c r="AA19" s="197"/>
    </row>
    <row r="20" spans="2:27">
      <c r="B20" s="196"/>
      <c r="K20" s="197"/>
      <c r="M20" s="196"/>
      <c r="AA20" s="197"/>
    </row>
    <row r="21" spans="2:27">
      <c r="B21" s="196"/>
      <c r="K21" s="197"/>
      <c r="M21" s="196"/>
      <c r="AA21" s="197"/>
    </row>
    <row r="22" spans="2:27">
      <c r="B22" s="196"/>
      <c r="K22" s="197"/>
      <c r="M22" s="196"/>
      <c r="AA22" s="197"/>
    </row>
    <row r="23" spans="2:27" ht="16.2" thickBot="1">
      <c r="B23" s="206"/>
      <c r="C23" s="207"/>
      <c r="D23" s="207"/>
      <c r="E23" s="207"/>
      <c r="F23" s="207"/>
      <c r="G23" s="207"/>
      <c r="H23" s="207"/>
      <c r="I23" s="207"/>
      <c r="J23" s="207"/>
      <c r="K23" s="208"/>
      <c r="M23" s="196"/>
      <c r="AA23" s="197"/>
    </row>
    <row r="24" spans="2:27">
      <c r="M24" s="196"/>
      <c r="AA24" s="197"/>
    </row>
    <row r="25" spans="2:27">
      <c r="M25" s="196"/>
      <c r="AA25" s="197"/>
    </row>
    <row r="26" spans="2:27">
      <c r="M26" s="196"/>
      <c r="AA26" s="197"/>
    </row>
    <row r="27" spans="2:27">
      <c r="M27" s="196"/>
      <c r="AA27" s="197"/>
    </row>
    <row r="28" spans="2:27">
      <c r="M28" s="196"/>
      <c r="AA28" s="197"/>
    </row>
    <row r="29" spans="2:27">
      <c r="M29" s="196"/>
      <c r="AA29" s="197"/>
    </row>
    <row r="30" spans="2:27">
      <c r="M30" s="196"/>
      <c r="AA30" s="197"/>
    </row>
    <row r="31" spans="2:27">
      <c r="M31" s="196"/>
      <c r="AA31" s="197"/>
    </row>
    <row r="32" spans="2:27" ht="21">
      <c r="M32" s="246" t="s">
        <v>655</v>
      </c>
      <c r="N32" s="247"/>
      <c r="O32" s="247"/>
      <c r="P32" s="247"/>
      <c r="Q32" s="247"/>
      <c r="R32" s="247"/>
      <c r="S32" s="247"/>
      <c r="T32" s="247"/>
      <c r="U32" s="247"/>
      <c r="V32" s="247"/>
      <c r="W32" s="247"/>
      <c r="X32" s="247"/>
      <c r="Y32" s="247"/>
      <c r="Z32" s="247"/>
      <c r="AA32" s="248"/>
    </row>
    <row r="33" spans="13:27">
      <c r="M33" s="198"/>
      <c r="N33" s="194"/>
      <c r="O33" s="194"/>
      <c r="P33" s="194"/>
      <c r="Q33" s="194"/>
      <c r="R33" s="194"/>
      <c r="S33" s="194"/>
      <c r="T33" s="194"/>
      <c r="U33" s="194"/>
      <c r="V33" s="194"/>
      <c r="W33" s="194"/>
      <c r="X33" s="194"/>
      <c r="Y33" s="194"/>
      <c r="Z33" s="194"/>
      <c r="AA33" s="199"/>
    </row>
    <row r="34" spans="13:27" ht="19.8">
      <c r="M34" s="200" t="s">
        <v>649</v>
      </c>
      <c r="N34" s="194"/>
      <c r="O34" s="194"/>
      <c r="P34" s="194"/>
      <c r="Q34" s="194"/>
      <c r="R34" s="194"/>
      <c r="S34" s="194"/>
      <c r="T34" s="194"/>
      <c r="U34" s="194"/>
      <c r="V34" s="194"/>
      <c r="W34" s="194"/>
      <c r="X34" s="194"/>
      <c r="Y34" s="194"/>
      <c r="Z34" s="194"/>
      <c r="AA34" s="199"/>
    </row>
    <row r="35" spans="13:27" ht="19.8">
      <c r="M35" s="200" t="s">
        <v>650</v>
      </c>
      <c r="N35" s="194"/>
      <c r="O35" s="194"/>
      <c r="P35" s="194"/>
      <c r="Q35" s="194"/>
      <c r="R35" s="194"/>
      <c r="S35" s="194"/>
      <c r="T35" s="194"/>
      <c r="U35" s="194"/>
      <c r="V35" s="194"/>
      <c r="W35" s="194"/>
      <c r="X35" s="194"/>
      <c r="Y35" s="194"/>
      <c r="Z35" s="194"/>
      <c r="AA35" s="199"/>
    </row>
    <row r="36" spans="13:27" ht="18">
      <c r="M36" s="200"/>
      <c r="N36" s="194"/>
      <c r="O36" s="194"/>
      <c r="P36" s="194"/>
      <c r="Q36" s="194"/>
      <c r="R36" s="194"/>
      <c r="S36" s="194"/>
      <c r="T36" s="194"/>
      <c r="U36" s="194"/>
      <c r="V36" s="194"/>
      <c r="W36" s="194"/>
      <c r="X36" s="194"/>
      <c r="Y36" s="194"/>
      <c r="Z36" s="194"/>
      <c r="AA36" s="199"/>
    </row>
    <row r="37" spans="13:27" ht="18">
      <c r="M37" s="200" t="s">
        <v>651</v>
      </c>
      <c r="N37" s="194"/>
      <c r="O37" s="194"/>
      <c r="P37" s="194"/>
      <c r="Q37" s="194"/>
      <c r="R37" s="194"/>
      <c r="S37" s="194"/>
      <c r="T37" s="194"/>
      <c r="U37" s="194"/>
      <c r="V37" s="194"/>
      <c r="W37" s="194"/>
      <c r="X37" s="194"/>
      <c r="Y37" s="194"/>
      <c r="Z37" s="194"/>
      <c r="AA37" s="199"/>
    </row>
    <row r="38" spans="13:27" ht="18">
      <c r="M38" s="201" t="s">
        <v>652</v>
      </c>
      <c r="N38" s="195"/>
      <c r="O38" s="195"/>
      <c r="P38" s="195"/>
      <c r="Q38" s="195"/>
      <c r="R38" s="195"/>
      <c r="S38" s="195"/>
      <c r="T38" s="195"/>
      <c r="U38" s="195"/>
      <c r="V38" s="194"/>
      <c r="W38" s="194"/>
      <c r="X38" s="194"/>
      <c r="Y38" s="194"/>
      <c r="Z38" s="194"/>
      <c r="AA38" s="199"/>
    </row>
    <row r="39" spans="13:27" ht="18.600000000000001" thickBot="1">
      <c r="M39" s="202" t="s">
        <v>653</v>
      </c>
      <c r="N39" s="203"/>
      <c r="O39" s="203"/>
      <c r="P39" s="203"/>
      <c r="Q39" s="203"/>
      <c r="R39" s="203"/>
      <c r="S39" s="203"/>
      <c r="T39" s="203"/>
      <c r="U39" s="203"/>
      <c r="V39" s="204"/>
      <c r="W39" s="204"/>
      <c r="X39" s="204"/>
      <c r="Y39" s="204"/>
      <c r="Z39" s="204"/>
      <c r="AA39" s="205"/>
    </row>
    <row r="40" spans="13:27">
      <c r="M40" s="190"/>
    </row>
  </sheetData>
  <sheetProtection algorithmName="SHA-512" hashValue="+71mdMMMnBhXJUZtHeIvL7c0xCG2q80qKr5dv6Dp2L/R0FlXgxVMjzhoPuJjSqd4Q5X6zsBCnh852lLRKHXNGg==" saltValue="04oeymKZ/Vt7D2BKt3Rr9g==" spinCount="100000" sheet="1" objects="1" scenarios="1"/>
  <mergeCells count="3">
    <mergeCell ref="B3:K3"/>
    <mergeCell ref="M3:AA3"/>
    <mergeCell ref="M32:AA32"/>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A28D-5BE2-8A49-904B-44C59EB8BE25}">
  <sheetPr codeName="Blad3">
    <tabColor theme="4" tint="0.59999389629810485"/>
    <pageSetUpPr fitToPage="1"/>
  </sheetPr>
  <dimension ref="C1:AG126"/>
  <sheetViews>
    <sheetView showGridLines="0" tabSelected="1" zoomScale="75" zoomScaleNormal="89" workbookViewId="0">
      <selection activeCell="W3" sqref="W3:X3"/>
    </sheetView>
  </sheetViews>
  <sheetFormatPr defaultColWidth="10.8984375" defaultRowHeight="15.6"/>
  <cols>
    <col min="1" max="1" width="10.8984375" style="76"/>
    <col min="2" max="2" width="10" style="76" customWidth="1"/>
    <col min="3" max="3" width="10.8984375" style="76" customWidth="1"/>
    <col min="4" max="5" width="11" style="76" customWidth="1"/>
    <col min="6" max="8" width="10.8984375" style="76"/>
    <col min="9" max="9" width="2.3984375" style="76" customWidth="1"/>
    <col min="10" max="10" width="10.8984375" style="76" customWidth="1"/>
    <col min="11" max="11" width="11" style="76" customWidth="1"/>
    <col min="12" max="13" width="10.8984375" style="76"/>
    <col min="14" max="14" width="11.5" style="91" bestFit="1" customWidth="1"/>
    <col min="15" max="15" width="2.5" style="91" customWidth="1"/>
    <col min="16" max="17" width="11.59765625" style="76" customWidth="1"/>
    <col min="18" max="18" width="11.8984375" style="76" customWidth="1"/>
    <col min="19" max="19" width="10.8984375" style="76"/>
    <col min="20" max="20" width="2.59765625" style="76" customWidth="1"/>
    <col min="21" max="23" width="10.8984375" style="76" customWidth="1"/>
    <col min="24" max="24" width="11.5" style="76" bestFit="1" customWidth="1"/>
    <col min="25" max="25" width="10.8984375" style="76"/>
    <col min="26" max="26" width="3.09765625" style="76" customWidth="1"/>
    <col min="27" max="28" width="10.8984375" style="76" customWidth="1"/>
    <col min="29" max="29" width="11.09765625" style="76" bestFit="1" customWidth="1"/>
    <col min="30" max="32" width="10.8984375" style="76"/>
    <col min="33" max="33" width="23.5" style="76" bestFit="1" customWidth="1"/>
    <col min="34" max="16384" width="10.8984375" style="76"/>
  </cols>
  <sheetData>
    <row r="1" spans="4:33" ht="17.100000000000001" customHeight="1"/>
    <row r="2" spans="4:33" ht="3" customHeight="1">
      <c r="AB2" s="91"/>
      <c r="AC2" s="91"/>
    </row>
    <row r="3" spans="4:33" ht="66.900000000000006" customHeight="1">
      <c r="D3" s="182"/>
      <c r="E3" s="181"/>
      <c r="F3" s="181"/>
      <c r="G3" s="181"/>
      <c r="H3" s="181"/>
      <c r="I3" s="181"/>
      <c r="J3" s="181"/>
      <c r="K3" s="181"/>
      <c r="L3" s="181"/>
      <c r="M3" s="181"/>
      <c r="N3" s="181"/>
      <c r="O3" s="181"/>
      <c r="P3" s="181"/>
      <c r="Q3" s="181"/>
      <c r="R3" s="181"/>
      <c r="S3" s="181"/>
      <c r="T3" s="181"/>
      <c r="U3" s="181"/>
      <c r="V3" s="181"/>
      <c r="W3" s="249">
        <v>2021</v>
      </c>
      <c r="X3" s="250"/>
      <c r="Z3" s="182"/>
      <c r="AA3" s="182"/>
      <c r="AB3" s="182"/>
      <c r="AC3" s="91"/>
      <c r="AF3" s="254"/>
      <c r="AG3" s="254"/>
    </row>
    <row r="4" spans="4:33" ht="15.9" customHeight="1">
      <c r="N4" s="192"/>
      <c r="O4" s="192"/>
    </row>
    <row r="5" spans="4:33" ht="15.9" customHeight="1">
      <c r="D5" s="183"/>
      <c r="E5" s="183"/>
      <c r="F5" s="183"/>
      <c r="G5" s="183"/>
      <c r="H5" s="183"/>
      <c r="I5" s="183"/>
      <c r="J5" s="183"/>
      <c r="K5" s="183"/>
      <c r="L5" s="183"/>
      <c r="M5" s="183"/>
      <c r="N5" s="188"/>
      <c r="O5" s="188"/>
      <c r="P5" s="183"/>
      <c r="Q5" s="183"/>
      <c r="R5" s="183"/>
      <c r="S5" s="183"/>
      <c r="T5" s="183"/>
      <c r="U5" s="183"/>
      <c r="V5" s="183"/>
      <c r="W5" s="183"/>
      <c r="X5" s="183"/>
      <c r="Y5" s="91"/>
    </row>
    <row r="6" spans="4:33" ht="15.9" customHeight="1">
      <c r="D6" s="183"/>
      <c r="E6" s="183"/>
      <c r="F6" s="183"/>
      <c r="G6" s="183"/>
      <c r="H6" s="183"/>
      <c r="I6" s="183"/>
      <c r="J6" s="183"/>
      <c r="K6" s="183"/>
      <c r="L6" s="183"/>
      <c r="M6" s="183"/>
      <c r="N6" s="188"/>
      <c r="O6" s="188"/>
      <c r="P6" s="183"/>
      <c r="Q6" s="183"/>
      <c r="R6" s="183"/>
      <c r="S6" s="183"/>
      <c r="T6" s="183"/>
      <c r="U6" s="183"/>
      <c r="V6" s="183"/>
      <c r="W6" s="183"/>
      <c r="X6" s="183"/>
      <c r="Y6" s="91"/>
    </row>
    <row r="7" spans="4:33" ht="15.9" customHeight="1">
      <c r="D7" s="183"/>
      <c r="E7" s="183"/>
      <c r="F7" s="183"/>
      <c r="G7" s="183"/>
      <c r="H7" s="183"/>
      <c r="I7" s="183"/>
      <c r="J7" s="183"/>
      <c r="K7" s="183"/>
      <c r="L7" s="183"/>
      <c r="M7" s="183"/>
      <c r="N7" s="188"/>
      <c r="O7" s="188"/>
      <c r="P7" s="183"/>
      <c r="Q7" s="183"/>
      <c r="R7" s="183"/>
      <c r="S7" s="183"/>
      <c r="T7" s="183"/>
      <c r="U7" s="183"/>
      <c r="V7" s="183"/>
      <c r="W7" s="183"/>
      <c r="X7" s="183"/>
      <c r="Y7" s="91"/>
    </row>
    <row r="8" spans="4:33" ht="15.9" customHeight="1">
      <c r="D8" s="183"/>
      <c r="E8" s="183"/>
      <c r="F8" s="183"/>
      <c r="G8" s="183"/>
      <c r="H8" s="183"/>
      <c r="I8" s="183"/>
      <c r="J8" s="183"/>
      <c r="K8" s="183"/>
      <c r="L8" s="183"/>
      <c r="M8" s="183"/>
      <c r="N8" s="188"/>
      <c r="O8" s="188"/>
      <c r="P8" s="183"/>
      <c r="Q8" s="183"/>
      <c r="R8" s="183"/>
      <c r="S8" s="183"/>
      <c r="T8" s="183"/>
      <c r="U8" s="183"/>
      <c r="V8" s="183"/>
      <c r="W8" s="183"/>
      <c r="X8" s="183"/>
      <c r="Y8" s="91"/>
    </row>
    <row r="9" spans="4:33" ht="15.9" customHeight="1">
      <c r="D9" s="183"/>
      <c r="E9" s="183"/>
      <c r="F9" s="183"/>
      <c r="G9" s="183"/>
      <c r="H9" s="183"/>
      <c r="I9" s="183"/>
      <c r="J9" s="183"/>
      <c r="K9" s="183"/>
      <c r="L9" s="183"/>
      <c r="M9" s="183"/>
      <c r="N9" s="188"/>
      <c r="O9" s="188"/>
      <c r="P9" s="183"/>
      <c r="Q9" s="183"/>
      <c r="R9" s="183"/>
      <c r="S9" s="183"/>
      <c r="T9" s="183"/>
      <c r="U9" s="183"/>
      <c r="V9" s="183"/>
      <c r="W9" s="183"/>
      <c r="X9" s="183"/>
      <c r="Y9" s="91"/>
    </row>
    <row r="10" spans="4:33" ht="15.9" customHeight="1">
      <c r="D10" s="183"/>
      <c r="E10" s="183"/>
      <c r="F10" s="183"/>
      <c r="G10" s="183"/>
      <c r="H10" s="183"/>
      <c r="I10" s="183"/>
      <c r="J10" s="183"/>
      <c r="K10" s="183"/>
      <c r="L10" s="183"/>
      <c r="M10" s="183"/>
      <c r="N10" s="188"/>
      <c r="O10" s="188"/>
      <c r="P10" s="183"/>
      <c r="Q10" s="183"/>
      <c r="R10" s="183"/>
      <c r="S10" s="183"/>
      <c r="T10" s="183"/>
      <c r="U10" s="183"/>
      <c r="V10" s="183"/>
      <c r="W10" s="183"/>
      <c r="X10" s="183"/>
      <c r="Y10" s="91"/>
    </row>
    <row r="11" spans="4:33" ht="15.9" customHeight="1">
      <c r="D11" s="183"/>
      <c r="E11" s="183"/>
      <c r="F11" s="183"/>
      <c r="G11" s="183"/>
      <c r="H11" s="183"/>
      <c r="I11" s="183"/>
      <c r="J11" s="183"/>
      <c r="K11" s="183"/>
      <c r="L11" s="183"/>
      <c r="M11" s="183"/>
      <c r="N11" s="188"/>
      <c r="O11" s="188"/>
      <c r="P11" s="183"/>
      <c r="Q11" s="183"/>
      <c r="R11" s="183"/>
      <c r="S11" s="183"/>
      <c r="T11" s="183"/>
      <c r="U11" s="183"/>
      <c r="V11" s="183"/>
      <c r="W11" s="183"/>
      <c r="X11" s="183"/>
      <c r="Y11" s="91"/>
    </row>
    <row r="12" spans="4:33" ht="15.9" customHeight="1">
      <c r="D12" s="183"/>
      <c r="E12" s="183"/>
      <c r="F12" s="183"/>
      <c r="G12" s="183"/>
      <c r="H12" s="183"/>
      <c r="I12" s="183"/>
      <c r="J12" s="183"/>
      <c r="K12" s="183"/>
      <c r="L12" s="183"/>
      <c r="M12" s="183"/>
      <c r="N12" s="188"/>
      <c r="O12" s="188"/>
      <c r="P12" s="183"/>
      <c r="Q12" s="183"/>
      <c r="R12" s="183"/>
      <c r="S12" s="183"/>
      <c r="T12" s="183"/>
      <c r="U12" s="183"/>
      <c r="V12" s="183"/>
      <c r="W12" s="183"/>
      <c r="X12" s="183"/>
      <c r="Y12" s="91"/>
    </row>
    <row r="13" spans="4:33" ht="15.9" customHeight="1">
      <c r="D13" s="183"/>
      <c r="E13" s="183"/>
      <c r="F13" s="183"/>
      <c r="G13" s="183"/>
      <c r="H13" s="183"/>
      <c r="I13" s="183"/>
      <c r="J13" s="183"/>
      <c r="K13" s="183"/>
      <c r="L13" s="183"/>
      <c r="M13" s="183"/>
      <c r="N13" s="188"/>
      <c r="O13" s="188"/>
      <c r="P13" s="183"/>
      <c r="Q13" s="183"/>
      <c r="R13" s="183"/>
      <c r="S13" s="183"/>
      <c r="T13" s="183"/>
      <c r="U13" s="183"/>
      <c r="V13" s="183"/>
      <c r="W13" s="183"/>
      <c r="X13" s="183"/>
      <c r="Y13" s="91"/>
    </row>
    <row r="14" spans="4:33" ht="15.9" customHeight="1">
      <c r="D14" s="183"/>
      <c r="E14" s="183"/>
      <c r="F14" s="183"/>
      <c r="G14" s="183"/>
      <c r="H14" s="183"/>
      <c r="I14" s="183"/>
      <c r="J14" s="183"/>
      <c r="K14" s="183"/>
      <c r="L14" s="183"/>
      <c r="M14" s="183"/>
      <c r="N14" s="188"/>
      <c r="O14" s="188"/>
      <c r="P14" s="183"/>
      <c r="Q14" s="183"/>
      <c r="R14" s="183"/>
      <c r="S14" s="183"/>
      <c r="T14" s="183"/>
      <c r="U14" s="183"/>
      <c r="V14" s="183"/>
      <c r="W14" s="183"/>
      <c r="X14" s="183"/>
      <c r="Y14" s="91"/>
    </row>
    <row r="15" spans="4:33" ht="15.9" customHeight="1">
      <c r="D15" s="183"/>
      <c r="E15" s="183"/>
      <c r="F15" s="183"/>
      <c r="G15" s="183"/>
      <c r="H15" s="183"/>
      <c r="I15" s="183"/>
      <c r="J15" s="183"/>
      <c r="K15" s="183"/>
      <c r="L15" s="183"/>
      <c r="M15" s="183"/>
      <c r="N15" s="188"/>
      <c r="O15" s="188"/>
      <c r="P15" s="183"/>
      <c r="Q15" s="183"/>
      <c r="R15" s="183"/>
      <c r="S15" s="183"/>
      <c r="T15" s="183"/>
      <c r="U15" s="183"/>
      <c r="V15" s="183"/>
      <c r="W15" s="183"/>
      <c r="X15" s="183"/>
      <c r="Y15" s="91"/>
    </row>
    <row r="16" spans="4:33" ht="15.9" customHeight="1">
      <c r="D16" s="183"/>
      <c r="E16" s="183"/>
      <c r="F16" s="183"/>
      <c r="G16" s="183"/>
      <c r="H16" s="183"/>
      <c r="I16" s="183"/>
      <c r="J16" s="183"/>
      <c r="K16" s="183"/>
      <c r="L16" s="183"/>
      <c r="M16" s="183"/>
      <c r="N16" s="188"/>
      <c r="O16" s="188"/>
      <c r="P16" s="183"/>
      <c r="Q16" s="183"/>
      <c r="R16" s="183"/>
      <c r="S16" s="183"/>
      <c r="T16" s="183"/>
      <c r="U16" s="183"/>
      <c r="V16" s="183"/>
      <c r="W16" s="183"/>
      <c r="X16" s="183"/>
      <c r="Y16" s="91"/>
    </row>
    <row r="17" spans="4:25" ht="15.9" customHeight="1">
      <c r="D17" s="183"/>
      <c r="E17" s="183"/>
      <c r="F17" s="183"/>
      <c r="G17" s="183"/>
      <c r="H17" s="183"/>
      <c r="I17" s="183"/>
      <c r="J17" s="183"/>
      <c r="K17" s="183"/>
      <c r="L17" s="183"/>
      <c r="M17" s="183"/>
      <c r="N17" s="188"/>
      <c r="O17" s="188"/>
      <c r="P17" s="183"/>
      <c r="Q17" s="183"/>
      <c r="R17" s="183"/>
      <c r="S17" s="183"/>
      <c r="T17" s="183"/>
      <c r="U17" s="183"/>
      <c r="V17" s="183"/>
      <c r="W17" s="183"/>
      <c r="X17" s="183"/>
      <c r="Y17" s="91"/>
    </row>
    <row r="18" spans="4:25" ht="15.9" customHeight="1">
      <c r="D18" s="183"/>
      <c r="E18" s="183"/>
      <c r="F18" s="183"/>
      <c r="G18" s="183"/>
      <c r="H18" s="183"/>
      <c r="I18" s="183"/>
      <c r="J18" s="183"/>
      <c r="K18" s="183"/>
      <c r="L18" s="183"/>
      <c r="M18" s="183"/>
      <c r="N18" s="188"/>
      <c r="O18" s="188"/>
      <c r="P18" s="183"/>
      <c r="Q18" s="183"/>
      <c r="R18" s="183"/>
      <c r="S18" s="183"/>
      <c r="T18" s="183"/>
      <c r="U18" s="183"/>
      <c r="V18" s="183"/>
      <c r="W18" s="183"/>
      <c r="X18" s="183"/>
      <c r="Y18" s="91"/>
    </row>
    <row r="19" spans="4:25" ht="15.9" customHeight="1">
      <c r="D19" s="183"/>
      <c r="E19" s="183"/>
      <c r="F19" s="183"/>
      <c r="G19" s="183"/>
      <c r="H19" s="183"/>
      <c r="I19" s="183"/>
      <c r="J19" s="183"/>
      <c r="K19" s="183"/>
      <c r="L19" s="183"/>
      <c r="M19" s="183"/>
      <c r="N19" s="188"/>
      <c r="O19" s="188"/>
      <c r="P19" s="183"/>
      <c r="Q19" s="183"/>
      <c r="R19" s="183"/>
      <c r="S19" s="183"/>
      <c r="T19" s="183"/>
      <c r="U19" s="183"/>
      <c r="V19" s="183"/>
      <c r="W19" s="183"/>
      <c r="X19" s="183"/>
      <c r="Y19" s="91"/>
    </row>
    <row r="20" spans="4:25" ht="15.9" customHeight="1">
      <c r="D20" s="183"/>
      <c r="E20" s="183"/>
      <c r="F20" s="183"/>
      <c r="G20" s="183"/>
      <c r="H20" s="183"/>
      <c r="I20" s="183"/>
      <c r="J20" s="183"/>
      <c r="K20" s="183"/>
      <c r="L20" s="183"/>
      <c r="M20" s="183"/>
      <c r="N20" s="188"/>
      <c r="O20" s="188"/>
      <c r="P20" s="183"/>
      <c r="Q20" s="183"/>
      <c r="R20" s="183"/>
      <c r="S20" s="183"/>
      <c r="T20" s="183"/>
      <c r="U20" s="183"/>
      <c r="V20" s="183"/>
      <c r="W20" s="183"/>
      <c r="X20" s="183"/>
      <c r="Y20" s="91"/>
    </row>
    <row r="21" spans="4:25" ht="15.9" customHeight="1">
      <c r="D21" s="183"/>
      <c r="E21" s="183"/>
      <c r="F21" s="183"/>
      <c r="G21" s="183"/>
      <c r="H21" s="183"/>
      <c r="I21" s="183"/>
      <c r="J21" s="183"/>
      <c r="K21" s="183"/>
      <c r="L21" s="183"/>
      <c r="M21" s="183"/>
      <c r="N21" s="188"/>
      <c r="O21" s="188"/>
      <c r="P21" s="183"/>
      <c r="Q21" s="183"/>
      <c r="R21" s="183"/>
      <c r="S21" s="183"/>
      <c r="T21" s="183"/>
      <c r="U21" s="183"/>
      <c r="V21" s="183"/>
      <c r="W21" s="183"/>
      <c r="X21" s="183"/>
      <c r="Y21" s="91"/>
    </row>
    <row r="22" spans="4:25" ht="15.9" customHeight="1">
      <c r="D22" s="183"/>
      <c r="E22" s="183"/>
      <c r="F22" s="183"/>
      <c r="G22" s="183"/>
      <c r="H22" s="183"/>
      <c r="I22" s="183"/>
      <c r="J22" s="183"/>
      <c r="K22" s="183"/>
      <c r="L22" s="183"/>
      <c r="M22" s="183"/>
      <c r="N22" s="188"/>
      <c r="O22" s="188"/>
      <c r="P22" s="183"/>
      <c r="Q22" s="183"/>
      <c r="R22" s="183"/>
      <c r="S22" s="183"/>
      <c r="T22" s="183"/>
      <c r="U22" s="183"/>
      <c r="V22" s="183"/>
      <c r="W22" s="183"/>
      <c r="X22" s="183"/>
      <c r="Y22" s="91"/>
    </row>
    <row r="23" spans="4:25" ht="15.9" customHeight="1">
      <c r="D23" s="91"/>
      <c r="E23" s="91"/>
      <c r="F23" s="91"/>
      <c r="G23" s="91"/>
      <c r="H23" s="91"/>
      <c r="I23" s="91"/>
      <c r="J23" s="91"/>
      <c r="K23" s="91"/>
      <c r="L23" s="91"/>
      <c r="M23" s="91"/>
      <c r="P23" s="91"/>
      <c r="Q23" s="91"/>
      <c r="R23" s="91"/>
      <c r="S23" s="91"/>
      <c r="T23" s="91"/>
      <c r="U23" s="91"/>
      <c r="V23" s="91"/>
      <c r="W23" s="91"/>
      <c r="X23" s="91"/>
      <c r="Y23" s="91"/>
    </row>
    <row r="24" spans="4:25" ht="15.9" customHeight="1">
      <c r="D24" s="209"/>
      <c r="E24" s="209"/>
      <c r="F24" s="209"/>
      <c r="G24" s="209"/>
      <c r="H24" s="209"/>
      <c r="I24" s="209"/>
      <c r="J24" s="209"/>
      <c r="K24" s="209"/>
      <c r="L24" s="209"/>
      <c r="M24" s="209"/>
      <c r="N24" s="209"/>
      <c r="O24" s="209"/>
      <c r="P24" s="209"/>
      <c r="Q24" s="209"/>
      <c r="R24" s="209"/>
      <c r="S24" s="209"/>
      <c r="T24" s="209"/>
      <c r="U24" s="209"/>
      <c r="V24" s="209"/>
      <c r="W24" s="209"/>
      <c r="X24" s="209"/>
      <c r="Y24" s="211"/>
    </row>
    <row r="25" spans="4:25" ht="15.9" customHeight="1">
      <c r="D25" s="209"/>
      <c r="E25" s="209"/>
      <c r="F25" s="209"/>
      <c r="G25" s="209"/>
      <c r="H25" s="209"/>
      <c r="I25" s="209"/>
      <c r="J25" s="209"/>
      <c r="K25" s="209"/>
      <c r="L25" s="209"/>
      <c r="M25" s="209"/>
      <c r="N25" s="209"/>
      <c r="O25" s="209"/>
      <c r="P25" s="209"/>
      <c r="Q25" s="209"/>
      <c r="R25" s="209"/>
      <c r="S25" s="209"/>
      <c r="T25" s="209"/>
      <c r="U25" s="209"/>
      <c r="V25" s="209"/>
      <c r="W25" s="209"/>
      <c r="X25" s="209"/>
      <c r="Y25" s="211"/>
    </row>
    <row r="26" spans="4:25" ht="15.9" customHeight="1">
      <c r="D26" s="209"/>
      <c r="E26" s="209"/>
      <c r="F26" s="209"/>
      <c r="G26" s="209"/>
      <c r="H26" s="209"/>
      <c r="I26" s="209"/>
      <c r="J26" s="209"/>
      <c r="K26" s="209"/>
      <c r="L26" s="209"/>
      <c r="M26" s="209"/>
      <c r="N26" s="209"/>
      <c r="O26" s="209"/>
      <c r="P26" s="209"/>
      <c r="Q26" s="209"/>
      <c r="R26" s="209"/>
      <c r="S26" s="209"/>
      <c r="T26" s="209"/>
      <c r="U26" s="209"/>
      <c r="V26" s="209"/>
      <c r="W26" s="209"/>
      <c r="X26" s="209"/>
      <c r="Y26" s="211"/>
    </row>
    <row r="27" spans="4:25" ht="15.9" customHeight="1">
      <c r="D27" s="209"/>
      <c r="E27" s="209"/>
      <c r="F27" s="209"/>
      <c r="G27" s="209"/>
      <c r="H27" s="209"/>
      <c r="I27" s="209"/>
      <c r="J27" s="209"/>
      <c r="K27" s="209"/>
      <c r="L27" s="209"/>
      <c r="M27" s="209"/>
      <c r="N27" s="209"/>
      <c r="O27" s="209"/>
      <c r="P27" s="209"/>
      <c r="Q27" s="209"/>
      <c r="R27" s="209"/>
      <c r="S27" s="209"/>
      <c r="T27" s="209"/>
      <c r="U27" s="209"/>
      <c r="V27" s="209"/>
      <c r="W27" s="209"/>
      <c r="X27" s="209"/>
      <c r="Y27" s="211"/>
    </row>
    <row r="28" spans="4:25" ht="15.9" customHeight="1">
      <c r="D28" s="209"/>
      <c r="E28" s="209"/>
      <c r="F28" s="209"/>
      <c r="G28" s="209"/>
      <c r="H28" s="209"/>
      <c r="I28" s="209"/>
      <c r="J28" s="209"/>
      <c r="K28" s="209"/>
      <c r="L28" s="209"/>
      <c r="M28" s="209"/>
      <c r="N28" s="209"/>
      <c r="O28" s="209"/>
      <c r="P28" s="209"/>
      <c r="Q28" s="209"/>
      <c r="R28" s="209"/>
      <c r="S28" s="209"/>
      <c r="T28" s="209"/>
      <c r="U28" s="209"/>
      <c r="V28" s="209"/>
      <c r="W28" s="209"/>
      <c r="X28" s="209"/>
      <c r="Y28" s="211"/>
    </row>
    <row r="29" spans="4:25" ht="15.9" customHeight="1">
      <c r="D29" s="209"/>
      <c r="E29" s="209"/>
      <c r="F29" s="209"/>
      <c r="G29" s="209"/>
      <c r="H29" s="209"/>
      <c r="I29" s="209"/>
      <c r="J29" s="209"/>
      <c r="K29" s="209"/>
      <c r="L29" s="209"/>
      <c r="M29" s="209"/>
      <c r="N29" s="209"/>
      <c r="O29" s="209"/>
      <c r="P29" s="209"/>
      <c r="Q29" s="209"/>
      <c r="R29" s="209"/>
      <c r="S29" s="209"/>
      <c r="T29" s="209"/>
      <c r="U29" s="209"/>
      <c r="V29" s="209"/>
      <c r="W29" s="209"/>
      <c r="X29" s="209"/>
      <c r="Y29" s="211"/>
    </row>
    <row r="30" spans="4:25" ht="15.9" customHeight="1">
      <c r="D30" s="209"/>
      <c r="E30" s="209"/>
      <c r="F30" s="209"/>
      <c r="G30" s="209"/>
      <c r="H30" s="209"/>
      <c r="I30" s="209"/>
      <c r="J30" s="209"/>
      <c r="K30" s="209"/>
      <c r="L30" s="209"/>
      <c r="M30" s="209"/>
      <c r="N30" s="209"/>
      <c r="O30" s="209"/>
      <c r="P30" s="209"/>
      <c r="Q30" s="209"/>
      <c r="R30" s="209"/>
      <c r="S30" s="209"/>
      <c r="T30" s="209"/>
      <c r="U30" s="209"/>
      <c r="V30" s="209"/>
      <c r="W30" s="209"/>
      <c r="X30" s="209"/>
      <c r="Y30" s="211"/>
    </row>
    <row r="31" spans="4:25" ht="15.9" customHeight="1">
      <c r="D31" s="209"/>
      <c r="E31" s="209"/>
      <c r="F31" s="209"/>
      <c r="G31" s="209"/>
      <c r="H31" s="209"/>
      <c r="I31" s="209"/>
      <c r="J31" s="209"/>
      <c r="K31" s="209"/>
      <c r="L31" s="209"/>
      <c r="M31" s="209"/>
      <c r="N31" s="209"/>
      <c r="O31" s="209"/>
      <c r="P31" s="209"/>
      <c r="Q31" s="209"/>
      <c r="R31" s="209"/>
      <c r="S31" s="209"/>
      <c r="T31" s="209"/>
      <c r="U31" s="209"/>
      <c r="V31" s="209"/>
      <c r="W31" s="209"/>
      <c r="X31" s="209"/>
      <c r="Y31" s="211"/>
    </row>
    <row r="32" spans="4:25" ht="15.9" customHeight="1">
      <c r="D32" s="209"/>
      <c r="E32" s="209"/>
      <c r="F32" s="209"/>
      <c r="G32" s="209"/>
      <c r="H32" s="209"/>
      <c r="I32" s="209"/>
      <c r="J32" s="209"/>
      <c r="K32" s="209"/>
      <c r="L32" s="209"/>
      <c r="M32" s="209"/>
      <c r="N32" s="209"/>
      <c r="O32" s="209"/>
      <c r="P32" s="209"/>
      <c r="Q32" s="209"/>
      <c r="R32" s="209"/>
      <c r="S32" s="209"/>
      <c r="T32" s="209"/>
      <c r="U32" s="209"/>
      <c r="V32" s="209"/>
      <c r="W32" s="209"/>
      <c r="X32" s="209"/>
      <c r="Y32" s="211"/>
    </row>
    <row r="33" spans="4:32" ht="15.9" customHeight="1">
      <c r="D33" s="209"/>
      <c r="E33" s="209"/>
      <c r="F33" s="209"/>
      <c r="G33" s="209"/>
      <c r="H33" s="209"/>
      <c r="I33" s="209"/>
      <c r="J33" s="209"/>
      <c r="K33" s="209"/>
      <c r="L33" s="209"/>
      <c r="M33" s="209"/>
      <c r="N33" s="209"/>
      <c r="O33" s="209"/>
      <c r="P33" s="209"/>
      <c r="Q33" s="209"/>
      <c r="R33" s="209"/>
      <c r="S33" s="209"/>
      <c r="T33" s="209"/>
      <c r="U33" s="209"/>
      <c r="V33" s="209"/>
      <c r="W33" s="209"/>
      <c r="X33" s="209"/>
      <c r="Y33" s="211"/>
    </row>
    <row r="34" spans="4:32" ht="15.9" customHeight="1">
      <c r="D34" s="209"/>
      <c r="E34" s="209"/>
      <c r="F34" s="209"/>
      <c r="G34" s="209"/>
      <c r="H34" s="209"/>
      <c r="I34" s="209"/>
      <c r="J34" s="209"/>
      <c r="K34" s="209"/>
      <c r="L34" s="209"/>
      <c r="M34" s="209"/>
      <c r="N34" s="209"/>
      <c r="O34" s="209"/>
      <c r="P34" s="209"/>
      <c r="Q34" s="209"/>
      <c r="R34" s="209"/>
      <c r="S34" s="209"/>
      <c r="T34" s="209"/>
      <c r="U34" s="209"/>
      <c r="V34" s="209"/>
      <c r="W34" s="209"/>
      <c r="X34" s="209"/>
      <c r="Y34" s="211"/>
    </row>
    <row r="35" spans="4:32" ht="15.9" customHeight="1">
      <c r="D35" s="209"/>
      <c r="E35" s="209"/>
      <c r="F35" s="209"/>
      <c r="G35" s="209"/>
      <c r="H35" s="209"/>
      <c r="I35" s="209"/>
      <c r="J35" s="209"/>
      <c r="K35" s="209"/>
      <c r="L35" s="209"/>
      <c r="M35" s="209"/>
      <c r="N35" s="209"/>
      <c r="O35" s="209"/>
      <c r="P35" s="209"/>
      <c r="Q35" s="209"/>
      <c r="R35" s="209"/>
      <c r="S35" s="209"/>
      <c r="T35" s="209"/>
      <c r="U35" s="209"/>
      <c r="V35" s="209"/>
      <c r="W35" s="209"/>
      <c r="X35" s="209"/>
      <c r="Y35" s="211"/>
    </row>
    <row r="36" spans="4:32" ht="15.9" customHeight="1">
      <c r="D36" s="209"/>
      <c r="E36" s="209"/>
      <c r="F36" s="209"/>
      <c r="G36" s="209"/>
      <c r="H36" s="209"/>
      <c r="I36" s="209"/>
      <c r="J36" s="209"/>
      <c r="K36" s="209"/>
      <c r="L36" s="209"/>
      <c r="M36" s="209"/>
      <c r="N36" s="209"/>
      <c r="O36" s="209"/>
      <c r="P36" s="209"/>
      <c r="Q36" s="209"/>
      <c r="R36" s="209"/>
      <c r="S36" s="209"/>
      <c r="T36" s="209"/>
      <c r="U36" s="209"/>
      <c r="V36" s="209"/>
      <c r="W36" s="209"/>
      <c r="X36" s="209"/>
      <c r="Y36" s="211"/>
    </row>
    <row r="37" spans="4:32" ht="15.9" customHeight="1">
      <c r="D37" s="209"/>
      <c r="E37" s="209"/>
      <c r="F37" s="209"/>
      <c r="G37" s="209"/>
      <c r="H37" s="209"/>
      <c r="I37" s="209"/>
      <c r="J37" s="209"/>
      <c r="K37" s="209"/>
      <c r="L37" s="209"/>
      <c r="M37" s="209"/>
      <c r="N37" s="209"/>
      <c r="O37" s="209"/>
      <c r="P37" s="209"/>
      <c r="Q37" s="209"/>
      <c r="R37" s="209"/>
      <c r="S37" s="209"/>
      <c r="T37" s="209"/>
      <c r="U37" s="209"/>
      <c r="V37" s="209"/>
      <c r="W37" s="209"/>
      <c r="X37" s="209"/>
      <c r="Y37" s="211"/>
    </row>
    <row r="38" spans="4:32" ht="15.9" customHeight="1">
      <c r="D38" s="209"/>
      <c r="E38" s="209"/>
      <c r="F38" s="209"/>
      <c r="G38" s="209"/>
      <c r="H38" s="209"/>
      <c r="I38" s="209"/>
      <c r="J38" s="209"/>
      <c r="K38" s="209"/>
      <c r="L38" s="209"/>
      <c r="M38" s="209"/>
      <c r="N38" s="209"/>
      <c r="O38" s="209"/>
      <c r="P38" s="209"/>
      <c r="Q38" s="209"/>
      <c r="R38" s="209"/>
      <c r="S38" s="209"/>
      <c r="T38" s="209"/>
      <c r="U38" s="209"/>
      <c r="V38" s="209"/>
      <c r="W38" s="209"/>
      <c r="X38" s="209"/>
      <c r="Y38" s="211"/>
    </row>
    <row r="39" spans="4:32" ht="15.9" customHeight="1">
      <c r="D39" s="209"/>
      <c r="E39" s="209"/>
      <c r="F39" s="209"/>
      <c r="G39" s="209"/>
      <c r="H39" s="209"/>
      <c r="I39" s="209"/>
      <c r="J39" s="209"/>
      <c r="K39" s="209"/>
      <c r="L39" s="209"/>
      <c r="M39" s="209"/>
      <c r="N39" s="209"/>
      <c r="O39" s="209"/>
      <c r="P39" s="209"/>
      <c r="Q39" s="209"/>
      <c r="R39" s="209"/>
      <c r="S39" s="209"/>
      <c r="T39" s="209"/>
      <c r="U39" s="209"/>
      <c r="V39" s="209"/>
      <c r="W39" s="209"/>
      <c r="X39" s="209"/>
      <c r="Y39" s="211"/>
    </row>
    <row r="40" spans="4:32" ht="15.9" customHeight="1">
      <c r="D40" s="209"/>
      <c r="E40" s="209"/>
      <c r="F40" s="209"/>
      <c r="G40" s="209"/>
      <c r="H40" s="209"/>
      <c r="I40" s="209"/>
      <c r="J40" s="209"/>
      <c r="K40" s="209"/>
      <c r="L40" s="209"/>
      <c r="M40" s="209"/>
      <c r="N40" s="209"/>
      <c r="O40" s="209"/>
      <c r="P40" s="209"/>
      <c r="Q40" s="209"/>
      <c r="R40" s="209"/>
      <c r="S40" s="209"/>
      <c r="T40" s="209"/>
      <c r="U40" s="209"/>
      <c r="V40" s="209"/>
      <c r="W40" s="209"/>
      <c r="X40" s="209"/>
      <c r="Y40" s="211"/>
    </row>
    <row r="41" spans="4:32" ht="15.9" customHeight="1">
      <c r="D41" s="209"/>
      <c r="E41" s="209"/>
      <c r="F41" s="209"/>
      <c r="G41" s="209"/>
      <c r="H41" s="209"/>
      <c r="I41" s="209"/>
      <c r="J41" s="209"/>
      <c r="K41" s="209"/>
      <c r="L41" s="209"/>
      <c r="M41" s="209"/>
      <c r="N41" s="209"/>
      <c r="O41" s="209"/>
      <c r="P41" s="209"/>
      <c r="Q41" s="209"/>
      <c r="R41" s="209"/>
      <c r="S41" s="209"/>
      <c r="T41" s="209"/>
      <c r="U41" s="209"/>
      <c r="V41" s="209"/>
      <c r="W41" s="209"/>
      <c r="X41" s="209"/>
      <c r="Y41" s="211"/>
    </row>
    <row r="42" spans="4:32" ht="15.9" customHeight="1">
      <c r="D42" s="209"/>
      <c r="E42" s="209"/>
      <c r="F42" s="209"/>
      <c r="G42" s="209"/>
      <c r="H42" s="209"/>
      <c r="I42" s="209"/>
      <c r="J42" s="209"/>
      <c r="K42" s="209"/>
      <c r="L42" s="209"/>
      <c r="M42" s="209"/>
      <c r="N42" s="209"/>
      <c r="O42" s="209"/>
      <c r="P42" s="209"/>
      <c r="Q42" s="209"/>
      <c r="R42" s="209"/>
      <c r="S42" s="209"/>
      <c r="T42" s="209"/>
      <c r="U42" s="209"/>
      <c r="V42" s="209"/>
      <c r="W42" s="209"/>
      <c r="X42" s="209"/>
      <c r="Y42" s="211"/>
    </row>
    <row r="43" spans="4:32" ht="15.9" customHeight="1">
      <c r="D43" s="209"/>
      <c r="E43" s="209"/>
      <c r="F43" s="209"/>
      <c r="G43" s="209"/>
      <c r="H43" s="209"/>
      <c r="I43" s="209"/>
      <c r="J43" s="209"/>
      <c r="K43" s="209"/>
      <c r="L43" s="209"/>
      <c r="M43" s="209"/>
      <c r="N43" s="209"/>
      <c r="O43" s="209"/>
      <c r="P43" s="209"/>
      <c r="Q43" s="209"/>
      <c r="R43" s="209"/>
      <c r="S43" s="209"/>
      <c r="T43" s="209"/>
      <c r="U43" s="209"/>
      <c r="V43" s="209"/>
      <c r="W43" s="209"/>
      <c r="X43" s="209"/>
      <c r="Y43" s="211"/>
    </row>
    <row r="44" spans="4:32" ht="15.9" customHeight="1">
      <c r="D44" s="209"/>
      <c r="E44" s="209"/>
      <c r="F44" s="209"/>
      <c r="G44" s="209"/>
      <c r="H44" s="209"/>
      <c r="I44" s="209"/>
      <c r="J44" s="209"/>
      <c r="K44" s="209"/>
      <c r="L44" s="209"/>
      <c r="M44" s="209"/>
      <c r="N44" s="209"/>
      <c r="O44" s="209"/>
      <c r="P44" s="209"/>
      <c r="Q44" s="209"/>
      <c r="R44" s="209"/>
      <c r="S44" s="209"/>
      <c r="T44" s="209"/>
      <c r="U44" s="209"/>
      <c r="V44" s="209"/>
      <c r="W44" s="209"/>
      <c r="X44" s="209"/>
      <c r="Y44" s="211"/>
    </row>
    <row r="45" spans="4:32" ht="15.9" customHeight="1">
      <c r="D45" s="209"/>
      <c r="E45" s="209"/>
      <c r="F45" s="209"/>
      <c r="G45" s="209"/>
      <c r="H45" s="209"/>
      <c r="I45" s="209"/>
      <c r="J45" s="209"/>
      <c r="K45" s="209"/>
      <c r="L45" s="209"/>
      <c r="M45" s="210"/>
      <c r="N45" s="210"/>
      <c r="O45" s="210"/>
      <c r="P45" s="209"/>
      <c r="Q45" s="209"/>
      <c r="R45" s="209"/>
      <c r="S45" s="209"/>
      <c r="T45" s="209"/>
      <c r="U45" s="209"/>
      <c r="V45" s="209"/>
      <c r="W45" s="209"/>
      <c r="X45" s="209"/>
      <c r="Y45" s="211"/>
    </row>
    <row r="46" spans="4:32" ht="15.9" customHeight="1"/>
    <row r="47" spans="4:32" ht="15.9" customHeight="1">
      <c r="D47" s="212"/>
      <c r="E47" s="212"/>
      <c r="F47" s="212"/>
      <c r="G47" s="212"/>
      <c r="H47" s="212"/>
      <c r="I47" s="212"/>
      <c r="J47" s="212"/>
      <c r="K47" s="212"/>
      <c r="L47" s="212"/>
      <c r="M47" s="212"/>
      <c r="N47" s="212"/>
      <c r="O47" s="212"/>
      <c r="P47" s="212"/>
      <c r="Q47" s="212"/>
      <c r="R47" s="212"/>
      <c r="S47" s="212"/>
      <c r="T47" s="212"/>
      <c r="U47" s="212"/>
      <c r="V47" s="212"/>
      <c r="W47" s="212"/>
      <c r="X47" s="212"/>
      <c r="Y47" s="91"/>
      <c r="Z47" s="91"/>
      <c r="AA47" s="91"/>
      <c r="AB47" s="91"/>
      <c r="AC47" s="91"/>
      <c r="AD47" s="91"/>
      <c r="AE47" s="91"/>
      <c r="AF47" s="91"/>
    </row>
    <row r="48" spans="4:32" ht="15.9" customHeight="1">
      <c r="D48" s="212"/>
      <c r="E48" s="212"/>
      <c r="F48" s="212"/>
      <c r="G48" s="212"/>
      <c r="H48" s="212"/>
      <c r="I48" s="212"/>
      <c r="J48" s="212"/>
      <c r="K48" s="212"/>
      <c r="L48" s="212"/>
      <c r="M48" s="212"/>
      <c r="N48" s="212"/>
      <c r="O48" s="212"/>
      <c r="P48" s="212"/>
      <c r="Q48" s="212"/>
      <c r="R48" s="212"/>
      <c r="S48" s="212"/>
      <c r="T48" s="212"/>
      <c r="U48" s="212"/>
      <c r="V48" s="212"/>
      <c r="W48" s="212"/>
      <c r="X48" s="212"/>
      <c r="Y48" s="91"/>
      <c r="Z48" s="91"/>
      <c r="AA48" s="91"/>
      <c r="AB48" s="91"/>
      <c r="AC48" s="91"/>
      <c r="AD48" s="91"/>
      <c r="AE48" s="91"/>
      <c r="AF48" s="91"/>
    </row>
    <row r="49" spans="3:32" ht="15.9" customHeight="1">
      <c r="D49" s="212"/>
      <c r="E49" s="212"/>
      <c r="F49" s="212"/>
      <c r="G49" s="212"/>
      <c r="H49" s="212"/>
      <c r="I49" s="212"/>
      <c r="J49" s="212"/>
      <c r="K49" s="212"/>
      <c r="L49" s="212"/>
      <c r="M49" s="212"/>
      <c r="N49" s="212"/>
      <c r="O49" s="212"/>
      <c r="P49" s="212"/>
      <c r="Q49" s="212"/>
      <c r="R49" s="212"/>
      <c r="S49" s="212"/>
      <c r="T49" s="212"/>
      <c r="U49" s="212"/>
      <c r="V49" s="212"/>
      <c r="W49" s="212"/>
      <c r="X49" s="212"/>
      <c r="Y49" s="91"/>
      <c r="Z49" s="91"/>
      <c r="AA49" s="91"/>
      <c r="AB49" s="91"/>
      <c r="AC49" s="91"/>
      <c r="AD49" s="91"/>
      <c r="AE49" s="91"/>
      <c r="AF49" s="91"/>
    </row>
    <row r="50" spans="3:32" ht="15.9" customHeight="1">
      <c r="D50" s="212"/>
      <c r="E50" s="212"/>
      <c r="F50" s="212"/>
      <c r="G50" s="212"/>
      <c r="H50" s="212"/>
      <c r="I50" s="212"/>
      <c r="J50" s="212"/>
      <c r="K50" s="212"/>
      <c r="L50" s="212"/>
      <c r="M50" s="212"/>
      <c r="N50" s="212"/>
      <c r="O50" s="212"/>
      <c r="P50" s="212"/>
      <c r="Q50" s="212"/>
      <c r="R50" s="212"/>
      <c r="S50" s="212"/>
      <c r="T50" s="212"/>
      <c r="U50" s="212"/>
      <c r="V50" s="212"/>
      <c r="W50" s="212"/>
      <c r="X50" s="212"/>
      <c r="Y50" s="91"/>
      <c r="Z50" s="91"/>
      <c r="AA50" s="91"/>
      <c r="AB50" s="91"/>
      <c r="AC50" s="91"/>
      <c r="AD50" s="91"/>
      <c r="AE50" s="91"/>
      <c r="AF50" s="91"/>
    </row>
    <row r="51" spans="3:32" ht="15.9" customHeight="1">
      <c r="D51" s="212"/>
      <c r="E51" s="212"/>
      <c r="F51" s="212"/>
      <c r="G51" s="212"/>
      <c r="H51" s="212"/>
      <c r="I51" s="212"/>
      <c r="J51" s="212"/>
      <c r="K51" s="212"/>
      <c r="L51" s="212"/>
      <c r="M51" s="212"/>
      <c r="N51" s="212"/>
      <c r="O51" s="212"/>
      <c r="P51" s="212"/>
      <c r="Q51" s="212"/>
      <c r="R51" s="212"/>
      <c r="S51" s="212"/>
      <c r="T51" s="212"/>
      <c r="U51" s="212"/>
      <c r="V51" s="212"/>
      <c r="W51" s="212"/>
      <c r="X51" s="212"/>
      <c r="Y51" s="91"/>
      <c r="Z51" s="91"/>
      <c r="AA51" s="91"/>
      <c r="AB51" s="91"/>
      <c r="AC51" s="91"/>
      <c r="AD51" s="91"/>
      <c r="AE51" s="91"/>
      <c r="AF51" s="91"/>
    </row>
    <row r="52" spans="3:32" ht="15.9" customHeight="1">
      <c r="D52" s="212"/>
      <c r="E52" s="212"/>
      <c r="F52" s="212"/>
      <c r="G52" s="212"/>
      <c r="H52" s="212"/>
      <c r="I52" s="212"/>
      <c r="J52" s="212"/>
      <c r="K52" s="212"/>
      <c r="L52" s="212"/>
      <c r="M52" s="212"/>
      <c r="N52" s="212"/>
      <c r="O52" s="212"/>
      <c r="P52" s="212"/>
      <c r="Q52" s="212"/>
      <c r="R52" s="212"/>
      <c r="S52" s="212"/>
      <c r="T52" s="212"/>
      <c r="U52" s="212"/>
      <c r="V52" s="212"/>
      <c r="W52" s="212"/>
      <c r="X52" s="212"/>
      <c r="Y52" s="91"/>
      <c r="Z52" s="91"/>
      <c r="AA52" s="91"/>
      <c r="AB52" s="91"/>
      <c r="AC52" s="91"/>
      <c r="AD52" s="91"/>
      <c r="AE52" s="91"/>
      <c r="AF52" s="91"/>
    </row>
    <row r="53" spans="3:32" ht="15.9" customHeight="1">
      <c r="D53" s="212"/>
      <c r="E53" s="212"/>
      <c r="F53" s="212"/>
      <c r="G53" s="212"/>
      <c r="H53" s="212"/>
      <c r="I53" s="212"/>
      <c r="J53" s="212"/>
      <c r="K53" s="212"/>
      <c r="L53" s="212"/>
      <c r="M53" s="212"/>
      <c r="N53" s="212"/>
      <c r="O53" s="212"/>
      <c r="P53" s="212"/>
      <c r="Q53" s="212"/>
      <c r="R53" s="212"/>
      <c r="S53" s="212"/>
      <c r="T53" s="212"/>
      <c r="U53" s="212"/>
      <c r="V53" s="212"/>
      <c r="W53" s="212"/>
      <c r="X53" s="212"/>
      <c r="Y53" s="91"/>
      <c r="Z53" s="91"/>
      <c r="AA53" s="91"/>
      <c r="AB53" s="91"/>
      <c r="AC53" s="91"/>
      <c r="AD53" s="91"/>
      <c r="AE53" s="91"/>
      <c r="AF53" s="91"/>
    </row>
    <row r="54" spans="3:32" ht="15.9" customHeight="1">
      <c r="D54" s="212"/>
      <c r="E54" s="212"/>
      <c r="F54" s="212"/>
      <c r="G54" s="212"/>
      <c r="H54" s="212"/>
      <c r="I54" s="212"/>
      <c r="J54" s="212"/>
      <c r="K54" s="212"/>
      <c r="L54" s="212"/>
      <c r="M54" s="212"/>
      <c r="N54" s="212"/>
      <c r="O54" s="212"/>
      <c r="P54" s="212"/>
      <c r="Q54" s="212"/>
      <c r="R54" s="212"/>
      <c r="S54" s="212"/>
      <c r="T54" s="212"/>
      <c r="U54" s="212"/>
      <c r="V54" s="212"/>
      <c r="W54" s="212"/>
      <c r="X54" s="212"/>
      <c r="Y54" s="91"/>
      <c r="Z54" s="91"/>
      <c r="AA54" s="91"/>
      <c r="AB54" s="91"/>
      <c r="AC54" s="91"/>
      <c r="AD54" s="91"/>
      <c r="AE54" s="91"/>
      <c r="AF54" s="91"/>
    </row>
    <row r="55" spans="3:32" ht="15.9" customHeight="1">
      <c r="D55" s="212"/>
      <c r="E55" s="212"/>
      <c r="F55" s="212"/>
      <c r="G55" s="212"/>
      <c r="H55" s="212"/>
      <c r="I55" s="212"/>
      <c r="J55" s="212"/>
      <c r="K55" s="212"/>
      <c r="L55" s="212"/>
      <c r="M55" s="212"/>
      <c r="N55" s="212"/>
      <c r="O55" s="212"/>
      <c r="P55" s="212"/>
      <c r="Q55" s="212"/>
      <c r="R55" s="212"/>
      <c r="S55" s="212"/>
      <c r="T55" s="212"/>
      <c r="U55" s="212"/>
      <c r="V55" s="212"/>
      <c r="W55" s="212"/>
      <c r="X55" s="212"/>
      <c r="Y55" s="91"/>
      <c r="Z55" s="91"/>
      <c r="AA55" s="91"/>
      <c r="AB55" s="91"/>
      <c r="AC55" s="91"/>
      <c r="AD55" s="91"/>
      <c r="AE55" s="91"/>
      <c r="AF55" s="91"/>
    </row>
    <row r="56" spans="3:32" ht="15.9" customHeight="1">
      <c r="C56" s="87"/>
      <c r="D56" s="213"/>
      <c r="E56" s="213"/>
      <c r="F56" s="213"/>
      <c r="G56" s="213"/>
      <c r="H56" s="213"/>
      <c r="I56" s="213"/>
      <c r="J56" s="213"/>
      <c r="K56" s="213"/>
      <c r="L56" s="213"/>
      <c r="M56" s="213"/>
      <c r="N56" s="212"/>
      <c r="O56" s="212"/>
      <c r="P56" s="213"/>
      <c r="Q56" s="213"/>
      <c r="R56" s="213"/>
      <c r="S56" s="212"/>
      <c r="T56" s="212"/>
      <c r="U56" s="212"/>
      <c r="V56" s="212"/>
      <c r="W56" s="212"/>
      <c r="X56" s="212"/>
      <c r="Y56" s="91"/>
      <c r="Z56" s="91"/>
      <c r="AA56" s="91"/>
      <c r="AB56" s="91"/>
      <c r="AC56" s="91"/>
      <c r="AD56" s="91"/>
      <c r="AE56" s="91"/>
      <c r="AF56" s="91"/>
    </row>
    <row r="57" spans="3:32" ht="15.9" customHeight="1">
      <c r="C57" s="87"/>
      <c r="D57" s="213"/>
      <c r="E57" s="213"/>
      <c r="F57" s="213"/>
      <c r="G57" s="213"/>
      <c r="H57" s="213"/>
      <c r="I57" s="213"/>
      <c r="J57" s="213"/>
      <c r="K57" s="213"/>
      <c r="L57" s="213"/>
      <c r="M57" s="213"/>
      <c r="N57" s="213"/>
      <c r="O57" s="213"/>
      <c r="P57" s="213"/>
      <c r="Q57" s="213"/>
      <c r="R57" s="213"/>
      <c r="S57" s="212"/>
      <c r="T57" s="212"/>
      <c r="U57" s="212"/>
      <c r="V57" s="212"/>
      <c r="W57" s="212"/>
      <c r="X57" s="212"/>
      <c r="Y57" s="91"/>
      <c r="Z57" s="91"/>
      <c r="AA57" s="91"/>
      <c r="AB57" s="91"/>
      <c r="AC57" s="91"/>
      <c r="AD57" s="91"/>
      <c r="AE57" s="91"/>
      <c r="AF57" s="91"/>
    </row>
    <row r="58" spans="3:32" ht="15" customHeight="1">
      <c r="C58" s="88"/>
      <c r="D58" s="214"/>
      <c r="E58" s="214"/>
      <c r="F58" s="214"/>
      <c r="G58" s="214"/>
      <c r="H58" s="214"/>
      <c r="I58" s="214"/>
      <c r="J58" s="214"/>
      <c r="K58" s="212"/>
      <c r="L58" s="214"/>
      <c r="M58" s="214"/>
      <c r="N58" s="214"/>
      <c r="O58" s="214"/>
      <c r="P58" s="214"/>
      <c r="Q58" s="214"/>
      <c r="R58" s="214"/>
      <c r="S58" s="212"/>
      <c r="T58" s="212"/>
      <c r="U58" s="212"/>
      <c r="V58" s="212"/>
      <c r="W58" s="212"/>
      <c r="X58" s="212"/>
      <c r="Y58" s="91"/>
      <c r="Z58" s="91"/>
      <c r="AA58" s="91"/>
      <c r="AB58" s="91"/>
      <c r="AC58" s="91"/>
      <c r="AD58" s="91"/>
      <c r="AE58" s="91"/>
      <c r="AF58" s="91"/>
    </row>
    <row r="59" spans="3:32">
      <c r="D59" s="212"/>
      <c r="E59" s="212"/>
      <c r="F59" s="212"/>
      <c r="G59" s="212"/>
      <c r="H59" s="212"/>
      <c r="I59" s="212"/>
      <c r="J59" s="212"/>
      <c r="K59" s="212"/>
      <c r="L59" s="212"/>
      <c r="M59" s="212"/>
      <c r="N59" s="212"/>
      <c r="O59" s="212"/>
      <c r="P59" s="212"/>
      <c r="Q59" s="212"/>
      <c r="R59" s="212"/>
      <c r="S59" s="212"/>
      <c r="T59" s="212"/>
      <c r="U59" s="212"/>
      <c r="V59" s="212"/>
      <c r="W59" s="212"/>
      <c r="X59" s="212"/>
      <c r="Y59" s="91"/>
      <c r="Z59" s="91"/>
      <c r="AA59" s="91"/>
      <c r="AB59" s="91"/>
      <c r="AC59" s="91"/>
      <c r="AD59" s="91"/>
      <c r="AE59" s="91"/>
      <c r="AF59" s="91"/>
    </row>
    <row r="60" spans="3:32">
      <c r="D60" s="212"/>
      <c r="E60" s="212"/>
      <c r="F60" s="212"/>
      <c r="G60" s="212"/>
      <c r="H60" s="212"/>
      <c r="I60" s="212"/>
      <c r="J60" s="212"/>
      <c r="K60" s="212"/>
      <c r="L60" s="212"/>
      <c r="M60" s="212"/>
      <c r="N60" s="212"/>
      <c r="O60" s="212"/>
      <c r="P60" s="212"/>
      <c r="Q60" s="212"/>
      <c r="R60" s="212"/>
      <c r="S60" s="212"/>
      <c r="T60" s="212"/>
      <c r="U60" s="212"/>
      <c r="V60" s="212"/>
      <c r="W60" s="212"/>
      <c r="X60" s="212"/>
      <c r="Y60" s="91"/>
      <c r="Z60" s="91"/>
      <c r="AA60" s="91"/>
      <c r="AB60" s="91"/>
      <c r="AC60" s="91"/>
      <c r="AD60" s="91"/>
      <c r="AE60" s="91"/>
      <c r="AF60" s="91"/>
    </row>
    <row r="61" spans="3:32">
      <c r="D61" s="212"/>
      <c r="E61" s="212"/>
      <c r="F61" s="212"/>
      <c r="G61" s="212"/>
      <c r="H61" s="212"/>
      <c r="I61" s="212"/>
      <c r="J61" s="212"/>
      <c r="K61" s="212"/>
      <c r="L61" s="212"/>
      <c r="M61" s="212"/>
      <c r="N61" s="212"/>
      <c r="O61" s="212"/>
      <c r="P61" s="212"/>
      <c r="Q61" s="212"/>
      <c r="R61" s="212"/>
      <c r="S61" s="212"/>
      <c r="T61" s="212"/>
      <c r="U61" s="212"/>
      <c r="V61" s="212"/>
      <c r="W61" s="212"/>
      <c r="X61" s="212"/>
      <c r="Y61" s="91"/>
      <c r="Z61" s="91"/>
      <c r="AA61" s="91"/>
      <c r="AB61" s="91"/>
      <c r="AC61" s="91"/>
      <c r="AD61" s="91"/>
      <c r="AE61" s="91"/>
      <c r="AF61" s="91"/>
    </row>
    <row r="62" spans="3:32">
      <c r="D62" s="212"/>
      <c r="E62" s="212"/>
      <c r="F62" s="212"/>
      <c r="G62" s="212"/>
      <c r="H62" s="212"/>
      <c r="I62" s="212"/>
      <c r="J62" s="212"/>
      <c r="K62" s="212"/>
      <c r="L62" s="212"/>
      <c r="M62" s="212"/>
      <c r="N62" s="212"/>
      <c r="O62" s="212"/>
      <c r="P62" s="212"/>
      <c r="Q62" s="212"/>
      <c r="R62" s="212"/>
      <c r="S62" s="212"/>
      <c r="T62" s="212"/>
      <c r="U62" s="212"/>
      <c r="V62" s="212"/>
      <c r="W62" s="212"/>
      <c r="X62" s="212"/>
      <c r="Y62" s="91"/>
      <c r="Z62" s="91"/>
      <c r="AA62" s="91"/>
      <c r="AB62" s="91"/>
      <c r="AC62" s="91"/>
      <c r="AD62" s="91"/>
      <c r="AE62" s="91"/>
      <c r="AF62" s="91"/>
    </row>
    <row r="63" spans="3:32">
      <c r="D63" s="212"/>
      <c r="E63" s="212"/>
      <c r="F63" s="212"/>
      <c r="G63" s="212"/>
      <c r="H63" s="212"/>
      <c r="I63" s="212"/>
      <c r="J63" s="212"/>
      <c r="K63" s="212"/>
      <c r="L63" s="212"/>
      <c r="M63" s="212"/>
      <c r="N63" s="212"/>
      <c r="O63" s="212"/>
      <c r="P63" s="212"/>
      <c r="Q63" s="212"/>
      <c r="R63" s="212"/>
      <c r="S63" s="212"/>
      <c r="T63" s="212"/>
      <c r="U63" s="212"/>
      <c r="V63" s="212"/>
      <c r="W63" s="212"/>
      <c r="X63" s="212"/>
      <c r="Y63" s="91"/>
      <c r="Z63" s="91"/>
      <c r="AA63" s="91"/>
      <c r="AB63" s="91"/>
      <c r="AC63" s="91"/>
      <c r="AD63" s="91"/>
      <c r="AE63" s="91"/>
      <c r="AF63" s="91"/>
    </row>
    <row r="64" spans="3:32">
      <c r="D64" s="212"/>
      <c r="E64" s="212"/>
      <c r="F64" s="212"/>
      <c r="G64" s="212"/>
      <c r="H64" s="212"/>
      <c r="I64" s="212"/>
      <c r="J64" s="212"/>
      <c r="K64" s="212"/>
      <c r="L64" s="212"/>
      <c r="M64" s="212"/>
      <c r="N64" s="212"/>
      <c r="O64" s="212"/>
      <c r="P64" s="212"/>
      <c r="Q64" s="212"/>
      <c r="R64" s="212"/>
      <c r="S64" s="212"/>
      <c r="T64" s="212"/>
      <c r="U64" s="212"/>
      <c r="V64" s="212"/>
      <c r="W64" s="212"/>
      <c r="X64" s="212"/>
      <c r="Y64" s="91"/>
      <c r="Z64" s="91"/>
      <c r="AA64" s="91"/>
      <c r="AB64" s="91"/>
      <c r="AC64" s="91"/>
      <c r="AD64" s="91"/>
      <c r="AE64" s="91"/>
      <c r="AF64" s="91"/>
    </row>
    <row r="65" spans="3:33">
      <c r="D65" s="212"/>
      <c r="E65" s="212"/>
      <c r="F65" s="212"/>
      <c r="G65" s="212"/>
      <c r="H65" s="212"/>
      <c r="I65" s="212"/>
      <c r="J65" s="212"/>
      <c r="K65" s="212"/>
      <c r="L65" s="212"/>
      <c r="M65" s="212"/>
      <c r="N65" s="212"/>
      <c r="O65" s="212"/>
      <c r="P65" s="212"/>
      <c r="Q65" s="212"/>
      <c r="R65" s="212"/>
      <c r="S65" s="212"/>
      <c r="T65" s="212"/>
      <c r="U65" s="212"/>
      <c r="V65" s="212"/>
      <c r="W65" s="212"/>
      <c r="X65" s="212"/>
      <c r="Y65" s="91"/>
      <c r="Z65" s="91"/>
      <c r="AA65" s="91"/>
      <c r="AB65" s="91"/>
      <c r="AC65" s="91"/>
      <c r="AD65" s="91"/>
      <c r="AE65" s="91"/>
      <c r="AF65" s="91"/>
    </row>
    <row r="66" spans="3:33">
      <c r="D66" s="212"/>
      <c r="E66" s="212"/>
      <c r="F66" s="212"/>
      <c r="G66" s="212"/>
      <c r="H66" s="212"/>
      <c r="I66" s="212"/>
      <c r="J66" s="212"/>
      <c r="K66" s="212"/>
      <c r="L66" s="212"/>
      <c r="M66" s="212"/>
      <c r="N66" s="212"/>
      <c r="O66" s="212"/>
      <c r="P66" s="212"/>
      <c r="Q66" s="212"/>
      <c r="R66" s="212"/>
      <c r="S66" s="212"/>
      <c r="T66" s="212"/>
      <c r="U66" s="212"/>
      <c r="V66" s="212"/>
      <c r="W66" s="212"/>
      <c r="X66" s="212"/>
      <c r="Y66" s="91"/>
      <c r="Z66" s="91"/>
      <c r="AA66" s="91"/>
      <c r="AB66" s="91"/>
      <c r="AC66" s="91"/>
      <c r="AD66" s="91"/>
      <c r="AE66" s="91"/>
      <c r="AF66" s="91"/>
    </row>
    <row r="67" spans="3:33">
      <c r="D67" s="212"/>
      <c r="E67" s="212"/>
      <c r="F67" s="212"/>
      <c r="G67" s="212"/>
      <c r="H67" s="212"/>
      <c r="I67" s="212"/>
      <c r="J67" s="212"/>
      <c r="K67" s="212"/>
      <c r="L67" s="212"/>
      <c r="M67" s="212"/>
      <c r="N67" s="212"/>
      <c r="O67" s="212"/>
      <c r="P67" s="212"/>
      <c r="Q67" s="212"/>
      <c r="R67" s="212"/>
      <c r="S67" s="212"/>
      <c r="T67" s="212"/>
      <c r="U67" s="212"/>
      <c r="V67" s="212"/>
      <c r="W67" s="212"/>
      <c r="X67" s="212"/>
      <c r="Y67" s="91"/>
      <c r="Z67" s="91"/>
      <c r="AA67" s="91"/>
      <c r="AB67" s="91"/>
      <c r="AC67" s="91"/>
      <c r="AD67" s="91"/>
      <c r="AE67" s="91"/>
      <c r="AF67" s="91"/>
    </row>
    <row r="68" spans="3:33">
      <c r="D68" s="212"/>
      <c r="E68" s="212"/>
      <c r="F68" s="212"/>
      <c r="G68" s="212"/>
      <c r="H68" s="212"/>
      <c r="I68" s="212"/>
      <c r="J68" s="212"/>
      <c r="K68" s="212"/>
      <c r="L68" s="212"/>
      <c r="M68" s="212"/>
      <c r="N68" s="212"/>
      <c r="O68" s="212"/>
      <c r="P68" s="212"/>
      <c r="Q68" s="212"/>
      <c r="R68" s="212"/>
      <c r="S68" s="212"/>
      <c r="T68" s="212"/>
      <c r="U68" s="212"/>
      <c r="V68" s="212"/>
      <c r="W68" s="212"/>
      <c r="X68" s="212"/>
      <c r="Y68" s="91"/>
      <c r="Z68" s="91"/>
      <c r="AA68" s="91"/>
      <c r="AB68" s="91"/>
      <c r="AC68" s="91"/>
      <c r="AD68" s="91"/>
      <c r="AE68" s="91"/>
      <c r="AF68" s="91"/>
    </row>
    <row r="69" spans="3:33">
      <c r="D69" s="91"/>
      <c r="E69" s="91"/>
      <c r="F69" s="91"/>
      <c r="G69" s="91"/>
      <c r="H69" s="91"/>
      <c r="I69" s="91"/>
      <c r="J69" s="91"/>
      <c r="K69" s="91"/>
      <c r="L69" s="91"/>
      <c r="M69" s="91"/>
      <c r="P69" s="91"/>
      <c r="Q69" s="91"/>
      <c r="R69" s="91"/>
      <c r="S69" s="91"/>
      <c r="T69" s="91"/>
      <c r="U69" s="91"/>
      <c r="V69" s="91"/>
      <c r="W69" s="91"/>
      <c r="X69" s="91"/>
      <c r="Y69" s="91"/>
      <c r="Z69" s="91"/>
      <c r="AA69" s="91"/>
      <c r="AB69" s="91"/>
      <c r="AC69" s="91"/>
      <c r="AD69" s="91"/>
      <c r="AE69" s="91"/>
      <c r="AF69" s="91"/>
    </row>
    <row r="70" spans="3:33">
      <c r="D70" s="107"/>
      <c r="E70" s="107"/>
      <c r="F70" s="107"/>
      <c r="G70" s="107"/>
      <c r="H70" s="107"/>
      <c r="I70" s="107"/>
      <c r="J70" s="107"/>
      <c r="K70" s="107"/>
      <c r="L70" s="107"/>
      <c r="M70" s="107"/>
      <c r="N70" s="107"/>
      <c r="O70" s="107"/>
      <c r="P70" s="107"/>
      <c r="Q70" s="107"/>
      <c r="R70" s="107"/>
      <c r="S70" s="107"/>
      <c r="T70" s="107"/>
      <c r="U70" s="107"/>
      <c r="V70" s="107"/>
      <c r="W70" s="107"/>
      <c r="X70" s="107"/>
      <c r="Y70" s="91"/>
      <c r="Z70" s="91"/>
      <c r="AA70" s="91"/>
      <c r="AB70" s="91"/>
      <c r="AC70" s="91"/>
      <c r="AD70" s="91"/>
      <c r="AE70" s="91"/>
      <c r="AF70" s="91"/>
    </row>
    <row r="71" spans="3:33" ht="15.9" customHeight="1">
      <c r="D71" s="107"/>
      <c r="E71" s="107"/>
      <c r="F71" s="107"/>
      <c r="G71" s="107"/>
      <c r="H71" s="107"/>
      <c r="I71" s="107"/>
      <c r="J71" s="107"/>
      <c r="K71" s="107"/>
      <c r="L71" s="107"/>
      <c r="M71" s="107"/>
      <c r="N71" s="107"/>
      <c r="O71" s="107"/>
      <c r="P71" s="107"/>
      <c r="Q71" s="107"/>
      <c r="R71" s="185"/>
      <c r="S71" s="107"/>
      <c r="T71" s="107"/>
      <c r="U71" s="107"/>
      <c r="V71" s="107"/>
      <c r="W71" s="107"/>
      <c r="X71" s="107"/>
      <c r="Y71" s="91"/>
      <c r="Z71" s="91"/>
      <c r="AA71" s="91"/>
      <c r="AB71" s="91"/>
      <c r="AC71" s="91"/>
      <c r="AD71" s="91"/>
      <c r="AE71" s="91"/>
      <c r="AF71" s="91"/>
    </row>
    <row r="72" spans="3:33">
      <c r="D72" s="107"/>
      <c r="E72" s="107"/>
      <c r="F72" s="107"/>
      <c r="G72" s="107"/>
      <c r="H72" s="107"/>
      <c r="I72" s="107"/>
      <c r="J72" s="107"/>
      <c r="K72" s="107"/>
      <c r="L72" s="107"/>
      <c r="M72" s="107"/>
      <c r="N72" s="107"/>
      <c r="O72" s="107"/>
      <c r="P72" s="107"/>
      <c r="Q72" s="107"/>
      <c r="R72" s="107"/>
      <c r="S72" s="107"/>
      <c r="T72" s="107"/>
      <c r="U72" s="107"/>
      <c r="V72" s="107"/>
      <c r="W72" s="107"/>
      <c r="X72" s="107"/>
      <c r="Y72" s="91"/>
      <c r="Z72" s="91"/>
      <c r="AA72" s="91"/>
      <c r="AB72" s="91"/>
      <c r="AC72" s="91"/>
      <c r="AD72" s="91"/>
      <c r="AE72" s="91"/>
      <c r="AF72" s="91"/>
    </row>
    <row r="73" spans="3:33">
      <c r="D73" s="107"/>
      <c r="E73" s="107"/>
      <c r="F73" s="107"/>
      <c r="G73" s="107"/>
      <c r="H73" s="107"/>
      <c r="I73" s="107"/>
      <c r="J73" s="107"/>
      <c r="K73" s="107"/>
      <c r="L73" s="107"/>
      <c r="M73" s="107"/>
      <c r="N73" s="107"/>
      <c r="O73" s="107"/>
      <c r="P73" s="107"/>
      <c r="Q73" s="107"/>
      <c r="R73" s="107"/>
      <c r="S73" s="107"/>
      <c r="T73" s="107"/>
      <c r="U73" s="107"/>
      <c r="V73" s="107"/>
      <c r="W73" s="107"/>
      <c r="X73" s="107"/>
      <c r="Y73" s="91"/>
      <c r="Z73" s="91"/>
      <c r="AA73" s="91"/>
      <c r="AB73" s="91"/>
      <c r="AC73" s="91"/>
      <c r="AD73" s="91"/>
      <c r="AE73" s="91"/>
      <c r="AF73" s="91"/>
    </row>
    <row r="74" spans="3:33">
      <c r="D74" s="107"/>
      <c r="E74" s="107"/>
      <c r="F74" s="107"/>
      <c r="G74" s="107"/>
      <c r="H74" s="107"/>
      <c r="I74" s="107"/>
      <c r="J74" s="107"/>
      <c r="K74" s="107"/>
      <c r="L74" s="107"/>
      <c r="M74" s="107"/>
      <c r="N74" s="107"/>
      <c r="O74" s="107"/>
      <c r="P74" s="107"/>
      <c r="Q74" s="107"/>
      <c r="R74" s="107"/>
      <c r="S74" s="107"/>
      <c r="T74" s="107"/>
      <c r="U74" s="107"/>
      <c r="V74" s="107"/>
      <c r="W74" s="107"/>
      <c r="X74" s="107"/>
      <c r="Y74" s="91"/>
      <c r="Z74" s="91"/>
      <c r="AA74" s="91"/>
    </row>
    <row r="75" spans="3:33" ht="16.2" thickBot="1">
      <c r="D75" s="107"/>
      <c r="E75" s="107"/>
      <c r="F75" s="107"/>
      <c r="G75" s="107"/>
      <c r="H75" s="107"/>
      <c r="I75" s="107"/>
      <c r="J75" s="107"/>
      <c r="K75" s="107"/>
      <c r="L75" s="107"/>
      <c r="M75" s="107"/>
      <c r="N75" s="107"/>
      <c r="O75" s="107"/>
      <c r="P75" s="107"/>
      <c r="Q75" s="107"/>
      <c r="R75" s="107"/>
      <c r="S75" s="107"/>
      <c r="T75" s="107"/>
      <c r="U75" s="107"/>
      <c r="V75" s="107"/>
      <c r="W75" s="107"/>
      <c r="X75" s="107"/>
      <c r="Y75" s="91"/>
      <c r="Z75" s="91"/>
      <c r="AA75" s="91"/>
    </row>
    <row r="76" spans="3:33" ht="18.600000000000001" thickBot="1">
      <c r="D76" s="107"/>
      <c r="E76" s="107"/>
      <c r="F76" s="107"/>
      <c r="G76" s="107"/>
      <c r="H76" s="107"/>
      <c r="I76" s="107"/>
      <c r="J76" s="107"/>
      <c r="K76" s="107"/>
      <c r="L76" s="107"/>
      <c r="M76" s="107"/>
      <c r="N76" s="107"/>
      <c r="O76" s="107"/>
      <c r="P76" s="107"/>
      <c r="Q76" s="107"/>
      <c r="R76" s="107"/>
      <c r="S76" s="251" t="s">
        <v>277</v>
      </c>
      <c r="T76" s="252"/>
      <c r="U76" s="253"/>
      <c r="V76" s="107"/>
      <c r="W76" s="107"/>
      <c r="X76" s="107"/>
      <c r="Y76" s="91"/>
      <c r="Z76" s="91"/>
      <c r="AA76" s="91"/>
      <c r="AG76" s="77"/>
    </row>
    <row r="77" spans="3:33">
      <c r="D77" s="107"/>
      <c r="E77" s="107"/>
      <c r="F77" s="107"/>
      <c r="G77" s="107"/>
      <c r="H77" s="107"/>
      <c r="I77" s="107"/>
      <c r="J77" s="107"/>
      <c r="K77" s="107"/>
      <c r="L77" s="107"/>
      <c r="M77" s="107"/>
      <c r="N77" s="107"/>
      <c r="O77" s="107"/>
      <c r="P77" s="107"/>
      <c r="Q77" s="107"/>
      <c r="R77" s="107"/>
      <c r="S77" s="107"/>
      <c r="T77" s="107"/>
      <c r="U77" s="107"/>
      <c r="V77" s="107"/>
      <c r="W77" s="107"/>
      <c r="X77" s="107"/>
      <c r="Y77" s="91"/>
      <c r="Z77" s="91"/>
      <c r="AA77" s="91"/>
    </row>
    <row r="78" spans="3:33" ht="15.9" customHeight="1">
      <c r="C78" s="89"/>
      <c r="D78" s="184"/>
      <c r="E78" s="184"/>
      <c r="F78" s="184"/>
      <c r="G78" s="184"/>
      <c r="H78" s="107"/>
      <c r="I78" s="107"/>
      <c r="J78" s="107"/>
      <c r="K78" s="107"/>
      <c r="L78" s="107"/>
      <c r="M78" s="184"/>
      <c r="N78" s="184"/>
      <c r="O78" s="184"/>
      <c r="P78" s="184"/>
      <c r="Q78" s="184"/>
      <c r="R78" s="184"/>
      <c r="S78" s="184"/>
      <c r="T78" s="107"/>
      <c r="U78" s="184"/>
      <c r="V78" s="184"/>
      <c r="W78" s="107"/>
      <c r="X78" s="107"/>
      <c r="Y78" s="91"/>
      <c r="Z78" s="91"/>
      <c r="AA78" s="91"/>
    </row>
    <row r="79" spans="3:33">
      <c r="D79" s="107"/>
      <c r="E79" s="107"/>
      <c r="F79" s="107"/>
      <c r="G79" s="107"/>
      <c r="H79" s="107"/>
      <c r="I79" s="107"/>
      <c r="J79" s="107"/>
      <c r="K79" s="107"/>
      <c r="L79" s="107"/>
      <c r="M79" s="107"/>
      <c r="N79" s="107"/>
      <c r="O79" s="107"/>
      <c r="P79" s="107"/>
      <c r="Q79" s="107"/>
      <c r="R79" s="107"/>
      <c r="S79" s="107"/>
      <c r="T79" s="107"/>
      <c r="U79" s="107"/>
      <c r="V79" s="107"/>
      <c r="W79" s="107"/>
      <c r="X79" s="107"/>
      <c r="Y79" s="91"/>
      <c r="Z79" s="91"/>
      <c r="AA79" s="91"/>
    </row>
    <row r="80" spans="3:33">
      <c r="D80" s="107"/>
      <c r="E80" s="107"/>
      <c r="F80" s="107"/>
      <c r="G80" s="107"/>
      <c r="H80" s="107"/>
      <c r="I80" s="107"/>
      <c r="J80" s="107"/>
      <c r="K80" s="107"/>
      <c r="L80" s="107"/>
      <c r="M80" s="107"/>
      <c r="N80" s="107"/>
      <c r="O80" s="107"/>
      <c r="P80" s="107"/>
      <c r="Q80" s="107"/>
      <c r="R80" s="107"/>
      <c r="S80" s="107"/>
      <c r="T80" s="107"/>
      <c r="U80" s="107"/>
      <c r="V80" s="107"/>
      <c r="W80" s="107"/>
      <c r="X80" s="107"/>
      <c r="Y80" s="91"/>
      <c r="Z80" s="91"/>
      <c r="AA80" s="91"/>
    </row>
    <row r="81" spans="3:31">
      <c r="D81" s="107"/>
      <c r="E81" s="107"/>
      <c r="F81" s="107"/>
      <c r="G81" s="107"/>
      <c r="H81" s="107"/>
      <c r="I81" s="107"/>
      <c r="J81" s="107"/>
      <c r="K81" s="107"/>
      <c r="L81" s="107"/>
      <c r="M81" s="107"/>
      <c r="N81" s="107"/>
      <c r="O81" s="107"/>
      <c r="P81" s="107"/>
      <c r="Q81" s="107"/>
      <c r="R81" s="107"/>
      <c r="S81" s="107"/>
      <c r="T81" s="107"/>
      <c r="U81" s="107"/>
      <c r="V81" s="107"/>
      <c r="W81" s="107"/>
      <c r="X81" s="107"/>
      <c r="Y81" s="91"/>
      <c r="Z81" s="91"/>
      <c r="AA81" s="91"/>
    </row>
    <row r="82" spans="3:31">
      <c r="D82" s="107"/>
      <c r="E82" s="107"/>
      <c r="F82" s="107"/>
      <c r="G82" s="107"/>
      <c r="H82" s="107"/>
      <c r="I82" s="107"/>
      <c r="J82" s="107"/>
      <c r="K82" s="107"/>
      <c r="L82" s="107"/>
      <c r="M82" s="107"/>
      <c r="N82" s="107"/>
      <c r="O82" s="107"/>
      <c r="P82" s="107"/>
      <c r="Q82" s="107"/>
      <c r="R82" s="107"/>
      <c r="S82" s="107"/>
      <c r="T82" s="107"/>
      <c r="U82" s="107"/>
      <c r="V82" s="107"/>
      <c r="W82" s="107"/>
      <c r="X82" s="107"/>
      <c r="Y82" s="91"/>
      <c r="Z82" s="91"/>
      <c r="AA82" s="91"/>
    </row>
    <row r="83" spans="3:31" ht="15.9" customHeight="1">
      <c r="C83" s="90"/>
      <c r="D83" s="107"/>
      <c r="E83" s="107"/>
      <c r="F83" s="107"/>
      <c r="G83" s="107"/>
      <c r="H83" s="107"/>
      <c r="I83" s="107"/>
      <c r="J83" s="107"/>
      <c r="K83" s="107"/>
      <c r="L83" s="107"/>
      <c r="M83" s="107"/>
      <c r="N83" s="107"/>
      <c r="O83" s="107"/>
      <c r="P83" s="107"/>
      <c r="Q83" s="107"/>
      <c r="R83" s="107"/>
      <c r="S83" s="107"/>
      <c r="T83" s="107"/>
      <c r="U83" s="107"/>
      <c r="V83" s="107"/>
      <c r="W83" s="107"/>
      <c r="X83" s="107"/>
      <c r="Y83" s="91"/>
      <c r="Z83" s="91"/>
      <c r="AA83" s="91"/>
    </row>
    <row r="84" spans="3:31">
      <c r="D84" s="107"/>
      <c r="E84" s="107"/>
      <c r="F84" s="107"/>
      <c r="G84" s="107"/>
      <c r="H84" s="107"/>
      <c r="I84" s="107"/>
      <c r="J84" s="107"/>
      <c r="K84" s="107"/>
      <c r="L84" s="107"/>
      <c r="M84" s="107"/>
      <c r="N84" s="107"/>
      <c r="O84" s="107"/>
      <c r="P84" s="107"/>
      <c r="Q84" s="107"/>
      <c r="R84" s="107"/>
      <c r="S84" s="107"/>
      <c r="T84" s="107"/>
      <c r="U84" s="107"/>
      <c r="V84" s="107"/>
      <c r="W84" s="107"/>
      <c r="X84" s="107"/>
      <c r="Y84" s="91"/>
      <c r="Z84" s="91"/>
      <c r="AA84" s="91"/>
    </row>
    <row r="85" spans="3:31">
      <c r="D85" s="107"/>
      <c r="E85" s="107"/>
      <c r="F85" s="107"/>
      <c r="G85" s="107"/>
      <c r="H85" s="107"/>
      <c r="I85" s="107"/>
      <c r="J85" s="107"/>
      <c r="K85" s="107"/>
      <c r="L85" s="107"/>
      <c r="M85" s="107"/>
      <c r="N85" s="107"/>
      <c r="O85" s="107"/>
      <c r="P85" s="107"/>
      <c r="Q85" s="256" t="s">
        <v>661</v>
      </c>
      <c r="R85" s="256"/>
      <c r="S85" s="256"/>
      <c r="T85" s="256"/>
      <c r="U85" s="256"/>
      <c r="V85" s="256"/>
      <c r="W85" s="256"/>
      <c r="X85" s="107"/>
      <c r="Y85" s="91"/>
      <c r="Z85" s="91"/>
      <c r="AA85" s="91"/>
    </row>
    <row r="86" spans="3:31" ht="15.9" customHeight="1">
      <c r="D86" s="107"/>
      <c r="E86" s="107"/>
      <c r="F86" s="107"/>
      <c r="G86" s="107"/>
      <c r="H86" s="107"/>
      <c r="I86" s="107"/>
      <c r="J86" s="107"/>
      <c r="K86" s="107"/>
      <c r="L86" s="107"/>
      <c r="M86" s="107"/>
      <c r="N86" s="107"/>
      <c r="O86" s="107"/>
      <c r="P86" s="107"/>
      <c r="Q86" s="256"/>
      <c r="R86" s="256"/>
      <c r="S86" s="256"/>
      <c r="T86" s="256"/>
      <c r="U86" s="256"/>
      <c r="V86" s="256"/>
      <c r="W86" s="256"/>
      <c r="X86" s="215"/>
      <c r="Y86" s="91"/>
      <c r="Z86" s="91"/>
      <c r="AA86" s="91"/>
    </row>
    <row r="87" spans="3:31">
      <c r="D87" s="107"/>
      <c r="E87" s="107"/>
      <c r="F87" s="107"/>
      <c r="G87" s="107"/>
      <c r="H87" s="107"/>
      <c r="I87" s="107"/>
      <c r="J87" s="107"/>
      <c r="K87" s="107"/>
      <c r="L87" s="107"/>
      <c r="M87" s="107"/>
      <c r="N87" s="107"/>
      <c r="O87" s="107"/>
      <c r="P87" s="107"/>
      <c r="Q87" s="256"/>
      <c r="R87" s="256"/>
      <c r="S87" s="256"/>
      <c r="T87" s="256"/>
      <c r="U87" s="256"/>
      <c r="V87" s="256"/>
      <c r="W87" s="256"/>
      <c r="X87" s="215"/>
      <c r="Y87" s="91"/>
    </row>
    <row r="88" spans="3:31" ht="15.9" customHeight="1">
      <c r="D88" s="107"/>
      <c r="E88" s="255" t="s">
        <v>660</v>
      </c>
      <c r="F88" s="255"/>
      <c r="G88" s="255"/>
      <c r="H88" s="255"/>
      <c r="I88" s="255"/>
      <c r="J88" s="255"/>
      <c r="K88" s="255"/>
      <c r="L88" s="255"/>
      <c r="M88" s="107"/>
      <c r="N88" s="107"/>
      <c r="O88" s="107"/>
      <c r="P88" s="107"/>
      <c r="Q88" s="256"/>
      <c r="R88" s="256"/>
      <c r="S88" s="256"/>
      <c r="T88" s="256"/>
      <c r="U88" s="256"/>
      <c r="V88" s="256"/>
      <c r="W88" s="256"/>
      <c r="X88" s="215"/>
      <c r="Y88" s="91"/>
    </row>
    <row r="89" spans="3:31">
      <c r="D89" s="107"/>
      <c r="E89" s="255"/>
      <c r="F89" s="255"/>
      <c r="G89" s="255"/>
      <c r="H89" s="255"/>
      <c r="I89" s="255"/>
      <c r="J89" s="255"/>
      <c r="K89" s="255"/>
      <c r="L89" s="255"/>
      <c r="M89" s="107"/>
      <c r="N89" s="107"/>
      <c r="O89" s="107"/>
      <c r="P89" s="107"/>
      <c r="Q89" s="256"/>
      <c r="R89" s="256"/>
      <c r="S89" s="256"/>
      <c r="T89" s="256"/>
      <c r="U89" s="256"/>
      <c r="V89" s="256"/>
      <c r="W89" s="256"/>
      <c r="X89" s="215"/>
    </row>
    <row r="90" spans="3:31">
      <c r="D90" s="107"/>
      <c r="E90" s="255"/>
      <c r="F90" s="255"/>
      <c r="G90" s="255"/>
      <c r="H90" s="255"/>
      <c r="I90" s="255"/>
      <c r="J90" s="255"/>
      <c r="K90" s="255"/>
      <c r="L90" s="255"/>
      <c r="M90" s="107"/>
      <c r="N90" s="107"/>
      <c r="O90" s="107"/>
      <c r="P90" s="107"/>
      <c r="Q90" s="256"/>
      <c r="R90" s="256"/>
      <c r="S90" s="256"/>
      <c r="T90" s="256"/>
      <c r="U90" s="256"/>
      <c r="V90" s="256"/>
      <c r="W90" s="256"/>
      <c r="X90" s="215"/>
    </row>
    <row r="91" spans="3:31">
      <c r="J91" s="91"/>
      <c r="K91" s="91"/>
      <c r="L91" s="91"/>
      <c r="M91" s="91"/>
      <c r="P91" s="91"/>
      <c r="Q91" s="91"/>
      <c r="R91" s="91"/>
      <c r="S91" s="91"/>
      <c r="T91" s="91"/>
      <c r="U91" s="91"/>
      <c r="AE91" s="76" t="s">
        <v>190</v>
      </c>
    </row>
    <row r="92" spans="3:31">
      <c r="J92" s="91"/>
      <c r="K92" s="91"/>
      <c r="L92" s="91"/>
      <c r="M92" s="91"/>
      <c r="P92" s="91"/>
      <c r="Q92" s="91"/>
      <c r="R92" s="91"/>
      <c r="S92" s="91"/>
      <c r="T92" s="91"/>
      <c r="U92" s="91"/>
    </row>
    <row r="93" spans="3:31">
      <c r="J93" s="91"/>
      <c r="K93" s="91"/>
      <c r="L93" s="91"/>
      <c r="M93" s="91"/>
      <c r="P93" s="91"/>
      <c r="Q93" s="91"/>
      <c r="R93" s="91"/>
      <c r="S93" s="91"/>
      <c r="T93" s="91"/>
      <c r="U93" s="91"/>
    </row>
    <row r="94" spans="3:31">
      <c r="J94" s="91"/>
      <c r="K94" s="91"/>
      <c r="L94" s="91"/>
      <c r="M94" s="91"/>
      <c r="P94" s="91"/>
      <c r="Q94" s="91"/>
      <c r="R94" s="91"/>
      <c r="S94" s="91"/>
      <c r="T94" s="91"/>
      <c r="U94" s="91"/>
      <c r="V94" s="91"/>
      <c r="W94" s="91"/>
      <c r="X94" s="91"/>
      <c r="Y94" s="91"/>
      <c r="Z94" s="91"/>
    </row>
    <row r="95" spans="3:31" ht="15.9" customHeight="1">
      <c r="C95" s="85"/>
      <c r="D95" s="85"/>
      <c r="E95" s="85"/>
      <c r="F95" s="85"/>
      <c r="G95" s="85"/>
      <c r="H95" s="85"/>
      <c r="I95" s="85"/>
      <c r="J95" s="186"/>
      <c r="K95" s="186"/>
      <c r="L95" s="186"/>
      <c r="M95" s="186"/>
      <c r="N95" s="186"/>
      <c r="O95" s="186"/>
      <c r="P95" s="186"/>
      <c r="Q95" s="186"/>
      <c r="R95" s="186"/>
      <c r="S95" s="91"/>
      <c r="T95" s="91"/>
      <c r="U95" s="91"/>
      <c r="V95" s="91"/>
      <c r="W95" s="91"/>
      <c r="X95" s="91"/>
      <c r="Y95" s="91"/>
      <c r="Z95" s="91"/>
    </row>
    <row r="96" spans="3:31">
      <c r="J96" s="91"/>
      <c r="K96" s="91"/>
      <c r="L96" s="91"/>
      <c r="M96" s="91"/>
      <c r="P96" s="91"/>
      <c r="Q96" s="91"/>
      <c r="R96" s="91"/>
      <c r="S96" s="91"/>
      <c r="T96" s="91"/>
      <c r="U96" s="91"/>
      <c r="V96" s="91"/>
      <c r="W96" s="91"/>
      <c r="X96" s="91"/>
      <c r="Y96" s="91"/>
      <c r="Z96" s="91"/>
    </row>
    <row r="97" spans="10:26">
      <c r="J97" s="91"/>
      <c r="K97" s="91"/>
      <c r="L97" s="91"/>
      <c r="M97" s="91"/>
      <c r="P97" s="91"/>
      <c r="Q97" s="91"/>
      <c r="R97" s="91"/>
      <c r="S97" s="91"/>
      <c r="T97" s="91"/>
      <c r="U97" s="91"/>
      <c r="V97" s="91"/>
      <c r="W97" s="91"/>
      <c r="X97" s="91"/>
      <c r="Y97" s="91"/>
      <c r="Z97" s="91"/>
    </row>
    <row r="98" spans="10:26">
      <c r="J98" s="91"/>
      <c r="K98" s="91"/>
      <c r="L98" s="91"/>
      <c r="M98" s="91"/>
      <c r="P98" s="91"/>
      <c r="Q98" s="91"/>
      <c r="R98" s="91"/>
      <c r="S98" s="91"/>
      <c r="T98" s="91"/>
      <c r="U98" s="91"/>
      <c r="V98" s="91"/>
      <c r="W98" s="91"/>
      <c r="X98" s="91"/>
      <c r="Y98" s="91"/>
      <c r="Z98" s="91"/>
    </row>
    <row r="99" spans="10:26">
      <c r="J99" s="91"/>
      <c r="K99" s="91"/>
      <c r="L99" s="91"/>
      <c r="M99" s="91"/>
      <c r="P99" s="91"/>
      <c r="Q99" s="91"/>
      <c r="R99" s="91"/>
      <c r="S99" s="91"/>
      <c r="T99" s="91"/>
      <c r="U99" s="91"/>
      <c r="V99" s="91"/>
      <c r="W99" s="91"/>
      <c r="X99" s="91"/>
      <c r="Y99" s="91"/>
      <c r="Z99" s="91"/>
    </row>
    <row r="100" spans="10:26">
      <c r="J100" s="91"/>
      <c r="K100" s="91"/>
      <c r="L100" s="91"/>
      <c r="M100" s="91"/>
      <c r="P100" s="91"/>
      <c r="Q100" s="91"/>
      <c r="R100" s="91"/>
      <c r="S100" s="91"/>
      <c r="T100" s="91"/>
      <c r="U100" s="91"/>
      <c r="V100" s="91"/>
      <c r="W100" s="91"/>
      <c r="X100" s="91"/>
      <c r="Y100" s="91"/>
      <c r="Z100" s="91"/>
    </row>
    <row r="101" spans="10:26" ht="18">
      <c r="J101" s="91"/>
      <c r="K101" s="91"/>
      <c r="L101" s="91"/>
      <c r="M101" s="91"/>
      <c r="P101" s="91"/>
      <c r="Q101" s="91"/>
      <c r="R101" s="91"/>
      <c r="S101" s="91"/>
      <c r="T101" s="187"/>
      <c r="U101" s="91"/>
      <c r="V101" s="91"/>
      <c r="W101" s="91"/>
      <c r="X101" s="91"/>
      <c r="Y101" s="91"/>
      <c r="Z101" s="91"/>
    </row>
    <row r="102" spans="10:26">
      <c r="J102" s="91"/>
      <c r="K102" s="91"/>
      <c r="L102" s="91"/>
      <c r="M102" s="91"/>
      <c r="P102" s="91"/>
      <c r="Q102" s="91"/>
      <c r="R102" s="91"/>
      <c r="S102" s="91"/>
      <c r="T102" s="91"/>
      <c r="U102" s="91"/>
      <c r="V102" s="91"/>
      <c r="W102" s="91"/>
      <c r="X102" s="91"/>
      <c r="Y102" s="91"/>
      <c r="Z102" s="91"/>
    </row>
    <row r="103" spans="10:26">
      <c r="J103" s="91"/>
      <c r="K103" s="91"/>
      <c r="L103" s="91"/>
      <c r="M103" s="91"/>
      <c r="P103" s="91"/>
      <c r="Q103" s="91"/>
      <c r="R103" s="91"/>
      <c r="S103" s="91"/>
      <c r="T103" s="91"/>
      <c r="U103" s="91"/>
      <c r="V103" s="91"/>
      <c r="W103" s="91"/>
      <c r="X103" s="91"/>
      <c r="Y103" s="91"/>
      <c r="Z103" s="91"/>
    </row>
    <row r="104" spans="10:26">
      <c r="J104" s="91"/>
      <c r="K104" s="91"/>
      <c r="L104" s="91"/>
      <c r="M104" s="91"/>
      <c r="P104" s="91"/>
      <c r="Q104" s="91"/>
      <c r="R104" s="91"/>
      <c r="S104" s="91"/>
      <c r="T104" s="91"/>
      <c r="U104" s="91"/>
      <c r="V104" s="91"/>
      <c r="W104" s="91"/>
      <c r="X104" s="91"/>
      <c r="Y104" s="91"/>
      <c r="Z104" s="91"/>
    </row>
    <row r="105" spans="10:26">
      <c r="J105" s="91"/>
      <c r="K105" s="91"/>
      <c r="L105" s="91"/>
      <c r="M105" s="91"/>
      <c r="P105" s="91"/>
      <c r="Q105" s="91"/>
      <c r="R105" s="91"/>
      <c r="S105" s="91"/>
      <c r="T105" s="91"/>
      <c r="U105" s="91"/>
      <c r="V105" s="91"/>
      <c r="W105" s="91"/>
      <c r="X105" s="91"/>
      <c r="Y105" s="91"/>
      <c r="Z105" s="91"/>
    </row>
    <row r="106" spans="10:26">
      <c r="J106" s="91"/>
      <c r="K106" s="91"/>
      <c r="L106" s="91"/>
      <c r="M106" s="91"/>
      <c r="P106" s="91"/>
      <c r="Q106" s="91"/>
      <c r="R106" s="91"/>
      <c r="S106" s="91"/>
      <c r="T106" s="91"/>
      <c r="U106" s="91"/>
      <c r="V106" s="91"/>
      <c r="W106" s="91"/>
      <c r="X106" s="91"/>
      <c r="Y106" s="91"/>
      <c r="Z106" s="91"/>
    </row>
    <row r="107" spans="10:26">
      <c r="J107" s="91"/>
      <c r="K107" s="91"/>
      <c r="L107" s="91"/>
      <c r="M107" s="91"/>
      <c r="P107" s="91"/>
      <c r="Q107" s="91"/>
      <c r="R107" s="91"/>
      <c r="S107" s="91"/>
      <c r="T107" s="91"/>
      <c r="U107" s="91"/>
      <c r="V107" s="91"/>
      <c r="W107" s="91"/>
      <c r="X107" s="91"/>
      <c r="Y107" s="91"/>
      <c r="Z107" s="91"/>
    </row>
    <row r="108" spans="10:26">
      <c r="J108" s="91"/>
      <c r="K108" s="91"/>
      <c r="L108" s="91"/>
      <c r="M108" s="91"/>
      <c r="P108" s="91"/>
      <c r="Q108" s="91"/>
      <c r="R108" s="91"/>
      <c r="S108" s="91"/>
      <c r="T108" s="91"/>
      <c r="U108" s="91"/>
      <c r="V108" s="91"/>
      <c r="W108" s="91"/>
      <c r="X108" s="91"/>
      <c r="Y108" s="91"/>
      <c r="Z108" s="91"/>
    </row>
    <row r="109" spans="10:26">
      <c r="J109" s="91"/>
      <c r="K109" s="91"/>
      <c r="L109" s="91"/>
      <c r="M109" s="91"/>
      <c r="P109" s="91"/>
      <c r="Q109" s="91"/>
      <c r="R109" s="91"/>
      <c r="S109" s="91"/>
      <c r="T109" s="91"/>
      <c r="U109" s="91"/>
      <c r="V109" s="91"/>
      <c r="W109" s="91"/>
      <c r="X109" s="91"/>
      <c r="Y109" s="91"/>
      <c r="Z109" s="91"/>
    </row>
    <row r="110" spans="10:26">
      <c r="J110" s="91"/>
      <c r="K110" s="91"/>
      <c r="L110" s="91"/>
      <c r="M110" s="91"/>
      <c r="P110" s="91"/>
      <c r="Q110" s="91"/>
      <c r="R110" s="91"/>
      <c r="S110" s="91"/>
      <c r="T110" s="91"/>
      <c r="U110" s="91"/>
      <c r="V110" s="91"/>
      <c r="W110" s="91"/>
      <c r="X110" s="91"/>
      <c r="Y110" s="91"/>
      <c r="Z110" s="91"/>
    </row>
    <row r="111" spans="10:26">
      <c r="J111" s="91"/>
      <c r="K111" s="91"/>
      <c r="L111" s="91"/>
      <c r="M111" s="91"/>
      <c r="P111" s="91"/>
      <c r="Q111" s="91"/>
      <c r="R111" s="91"/>
      <c r="S111" s="91"/>
      <c r="T111" s="91"/>
      <c r="U111" s="91"/>
    </row>
    <row r="112" spans="10:26">
      <c r="J112" s="91"/>
      <c r="K112" s="91"/>
      <c r="L112" s="91"/>
      <c r="M112" s="91"/>
      <c r="P112" s="91"/>
      <c r="Q112" s="91"/>
      <c r="R112" s="91"/>
      <c r="S112" s="91"/>
      <c r="T112" s="91"/>
      <c r="U112" s="91"/>
    </row>
    <row r="119" spans="3:18">
      <c r="C119" s="77"/>
    </row>
    <row r="121" spans="3:18">
      <c r="H121"/>
      <c r="I121"/>
      <c r="L121" s="86"/>
    </row>
    <row r="125" spans="3:18" ht="15.9" customHeight="1"/>
    <row r="126" spans="3:18" ht="15.9" customHeight="1">
      <c r="C126" s="85"/>
      <c r="D126" s="85"/>
      <c r="E126" s="85"/>
      <c r="F126" s="85"/>
      <c r="G126" s="85"/>
      <c r="H126" s="85"/>
      <c r="I126" s="85"/>
      <c r="J126" s="85"/>
      <c r="K126" s="85"/>
      <c r="L126" s="85"/>
      <c r="M126" s="85"/>
      <c r="N126" s="186"/>
      <c r="O126" s="186"/>
      <c r="P126" s="85"/>
      <c r="Q126" s="85"/>
      <c r="R126" s="85"/>
    </row>
  </sheetData>
  <sheetProtection algorithmName="SHA-512" hashValue="Xt9TlwFyP+JJa+NlSsLQBeQwI8KCPJrKm2cZ3Zxe49ZxOr/3axikgadwIchNAqSRrZMYC4r1A8UgFtmJ7gM7XA==" saltValue="IpDIeoKhA/ekyeZQyTluKg==" spinCount="100000" sheet="1" objects="1" scenarios="1"/>
  <mergeCells count="5">
    <mergeCell ref="W3:X3"/>
    <mergeCell ref="S76:U76"/>
    <mergeCell ref="AF3:AG3"/>
    <mergeCell ref="E88:L90"/>
    <mergeCell ref="Q85:W90"/>
  </mergeCells>
  <dataValidations count="2">
    <dataValidation type="list" allowBlank="1" showInputMessage="1" showErrorMessage="1" sqref="W3 U62:U68" xr:uid="{B5017847-7392-3242-9914-21AEAA97CFFE}">
      <formula1>Jaren_Brondata</formula1>
    </dataValidation>
    <dataValidation type="list" allowBlank="1" showInputMessage="1" showErrorMessage="1" sqref="S76" xr:uid="{CB0BF8CD-67C9-EC49-8F19-624C9AC8016D}">
      <formula1>Buurten</formula1>
    </dataValidation>
  </dataValidations>
  <pageMargins left="0.25" right="0.25" top="0.75" bottom="0.75" header="0.3" footer="0.3"/>
  <pageSetup paperSize="9" scale="42"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27FAF-B3EC-9848-820C-E1AA37ABE614}">
  <sheetPr codeName="Blad4">
    <tabColor theme="5" tint="0.59999389629810485"/>
  </sheetPr>
  <dimension ref="A2:R131"/>
  <sheetViews>
    <sheetView zoomScale="92" workbookViewId="0">
      <selection activeCell="E7" sqref="E7"/>
    </sheetView>
  </sheetViews>
  <sheetFormatPr defaultColWidth="10.59765625" defaultRowHeight="15.6"/>
  <cols>
    <col min="2" max="2" width="67.3984375" bestFit="1" customWidth="1"/>
    <col min="3" max="3" width="13" bestFit="1" customWidth="1"/>
    <col min="4" max="6" width="11.5" bestFit="1" customWidth="1"/>
  </cols>
  <sheetData>
    <row r="2" spans="1:18" ht="23.4">
      <c r="B2" s="257" t="s">
        <v>194</v>
      </c>
      <c r="C2" s="257"/>
      <c r="D2" s="257"/>
      <c r="E2" s="257"/>
      <c r="F2" s="257"/>
      <c r="G2" s="257"/>
      <c r="H2" s="257"/>
      <c r="I2" s="257"/>
      <c r="J2" s="257"/>
      <c r="K2" s="257"/>
      <c r="L2" s="257"/>
      <c r="M2" s="257"/>
      <c r="N2" s="257"/>
    </row>
    <row r="3" spans="1:18">
      <c r="B3" s="19" t="s">
        <v>195</v>
      </c>
    </row>
    <row r="4" spans="1:18">
      <c r="B4" s="19" t="s">
        <v>152</v>
      </c>
      <c r="C4" s="51">
        <v>2019</v>
      </c>
      <c r="D4" s="51">
        <v>2020</v>
      </c>
      <c r="E4" s="51">
        <v>2021</v>
      </c>
      <c r="F4" s="51">
        <v>2022</v>
      </c>
      <c r="G4" s="51">
        <v>2023</v>
      </c>
      <c r="H4" s="51">
        <v>2024</v>
      </c>
      <c r="I4" s="51">
        <v>2025</v>
      </c>
      <c r="J4" s="51">
        <v>2026</v>
      </c>
      <c r="K4" s="51">
        <v>2027</v>
      </c>
      <c r="L4" s="51">
        <v>2028</v>
      </c>
      <c r="M4" s="51">
        <v>2029</v>
      </c>
      <c r="N4" s="51">
        <v>2030</v>
      </c>
    </row>
    <row r="5" spans="1:18">
      <c r="A5" s="19" t="s">
        <v>204</v>
      </c>
      <c r="B5" s="46" t="s">
        <v>127</v>
      </c>
      <c r="C5" s="47">
        <f t="shared" ref="C5:N5" si="0">C19</f>
        <v>101200</v>
      </c>
      <c r="D5" s="47">
        <f t="shared" si="0"/>
        <v>89100</v>
      </c>
      <c r="E5" s="47">
        <f t="shared" si="0"/>
        <v>89000</v>
      </c>
      <c r="F5" s="47">
        <f t="shared" si="0"/>
        <v>78400</v>
      </c>
      <c r="G5" s="47">
        <f t="shared" si="0"/>
        <v>66500</v>
      </c>
      <c r="H5" s="47" t="e">
        <f t="shared" si="0"/>
        <v>#N/A</v>
      </c>
      <c r="I5" s="47" t="e">
        <f t="shared" si="0"/>
        <v>#N/A</v>
      </c>
      <c r="J5" s="47" t="e">
        <f t="shared" si="0"/>
        <v>#N/A</v>
      </c>
      <c r="K5" s="47" t="e">
        <f t="shared" si="0"/>
        <v>#N/A</v>
      </c>
      <c r="L5" s="47" t="e">
        <f t="shared" si="0"/>
        <v>#N/A</v>
      </c>
      <c r="M5" s="47" t="e">
        <f t="shared" si="0"/>
        <v>#N/A</v>
      </c>
      <c r="N5" s="47" t="e">
        <f t="shared" si="0"/>
        <v>#N/A</v>
      </c>
    </row>
    <row r="6" spans="1:18">
      <c r="B6" s="46" t="s">
        <v>128</v>
      </c>
      <c r="C6" s="47">
        <f t="shared" ref="C6:N6" si="1">C28</f>
        <v>51600</v>
      </c>
      <c r="D6" s="47">
        <f t="shared" si="1"/>
        <v>42900</v>
      </c>
      <c r="E6" s="47">
        <f t="shared" si="1"/>
        <v>43800</v>
      </c>
      <c r="F6" s="47">
        <f t="shared" si="1"/>
        <v>44900</v>
      </c>
      <c r="G6" s="47">
        <f t="shared" si="1"/>
        <v>45400</v>
      </c>
      <c r="H6" s="47" t="e">
        <f t="shared" si="1"/>
        <v>#N/A</v>
      </c>
      <c r="I6" s="47" t="e">
        <f t="shared" si="1"/>
        <v>#N/A</v>
      </c>
      <c r="J6" s="47" t="e">
        <f t="shared" si="1"/>
        <v>#N/A</v>
      </c>
      <c r="K6" s="47" t="e">
        <f t="shared" si="1"/>
        <v>#N/A</v>
      </c>
      <c r="L6" s="47" t="e">
        <f t="shared" si="1"/>
        <v>#N/A</v>
      </c>
      <c r="M6" s="47" t="e">
        <f t="shared" si="1"/>
        <v>#N/A</v>
      </c>
      <c r="N6" s="47" t="e">
        <f t="shared" si="1"/>
        <v>#N/A</v>
      </c>
    </row>
    <row r="7" spans="1:18">
      <c r="B7" s="46" t="s">
        <v>126</v>
      </c>
      <c r="C7" s="47">
        <f t="shared" ref="C7:N7" si="2">C34</f>
        <v>38300.000000000015</v>
      </c>
      <c r="D7" s="47">
        <f t="shared" si="2"/>
        <v>35700.000000000015</v>
      </c>
      <c r="E7" s="47">
        <f t="shared" si="2"/>
        <v>37300.000000000015</v>
      </c>
      <c r="F7" s="47">
        <f t="shared" si="2"/>
        <v>36800.000000000015</v>
      </c>
      <c r="G7" s="47">
        <f t="shared" si="2"/>
        <v>33499.999999999985</v>
      </c>
      <c r="H7" s="47" t="e">
        <f t="shared" si="2"/>
        <v>#N/A</v>
      </c>
      <c r="I7" s="47" t="e">
        <f t="shared" si="2"/>
        <v>#N/A</v>
      </c>
      <c r="J7" s="47" t="e">
        <f t="shared" si="2"/>
        <v>#N/A</v>
      </c>
      <c r="K7" s="47" t="e">
        <f t="shared" si="2"/>
        <v>#N/A</v>
      </c>
      <c r="L7" s="47" t="e">
        <f t="shared" si="2"/>
        <v>#N/A</v>
      </c>
      <c r="M7" s="47" t="e">
        <f t="shared" si="2"/>
        <v>#N/A</v>
      </c>
      <c r="N7" s="47" t="e">
        <f t="shared" si="2"/>
        <v>#N/A</v>
      </c>
    </row>
    <row r="8" spans="1:18" ht="16.2" thickBot="1">
      <c r="B8" s="61" t="s">
        <v>205</v>
      </c>
      <c r="C8" s="62">
        <f>C39</f>
        <v>200</v>
      </c>
      <c r="D8" s="62">
        <f t="shared" ref="D8:N8" si="3">D39</f>
        <v>200</v>
      </c>
      <c r="E8" s="62">
        <f t="shared" si="3"/>
        <v>200</v>
      </c>
      <c r="F8" s="62">
        <f t="shared" si="3"/>
        <v>200</v>
      </c>
      <c r="G8" s="62">
        <f t="shared" si="3"/>
        <v>200</v>
      </c>
      <c r="H8" s="62" t="str">
        <f t="shared" si="3"/>
        <v/>
      </c>
      <c r="I8" s="62" t="str">
        <f t="shared" si="3"/>
        <v/>
      </c>
      <c r="J8" s="62" t="str">
        <f t="shared" si="3"/>
        <v/>
      </c>
      <c r="K8" s="62" t="str">
        <f t="shared" si="3"/>
        <v/>
      </c>
      <c r="L8" s="62" t="str">
        <f t="shared" si="3"/>
        <v/>
      </c>
      <c r="M8" s="62" t="str">
        <f t="shared" si="3"/>
        <v/>
      </c>
      <c r="N8" s="62" t="str">
        <f t="shared" si="3"/>
        <v/>
      </c>
    </row>
    <row r="9" spans="1:18" ht="16.2" thickTop="1">
      <c r="B9" s="56" t="s">
        <v>131</v>
      </c>
      <c r="C9" s="57">
        <f>IF(SUM(C5:C7)=0,"",SUM(C5:C7))</f>
        <v>191100</v>
      </c>
      <c r="D9" s="57">
        <f t="shared" ref="D9:N9" si="4">IF(SUM(D5:D7)=0,"",SUM(D5:D7))</f>
        <v>167700</v>
      </c>
      <c r="E9" s="57">
        <f t="shared" si="4"/>
        <v>170100</v>
      </c>
      <c r="F9" s="57">
        <f t="shared" si="4"/>
        <v>160100</v>
      </c>
      <c r="G9" s="57">
        <f>IF(SUM(G5:G7)=0,"",SUM(G5:G7))</f>
        <v>145400</v>
      </c>
      <c r="H9" s="57" t="e">
        <f t="shared" si="4"/>
        <v>#N/A</v>
      </c>
      <c r="I9" s="57" t="e">
        <f t="shared" si="4"/>
        <v>#N/A</v>
      </c>
      <c r="J9" s="57" t="e">
        <f t="shared" si="4"/>
        <v>#N/A</v>
      </c>
      <c r="K9" s="57" t="e">
        <f t="shared" si="4"/>
        <v>#N/A</v>
      </c>
      <c r="L9" s="57" t="e">
        <f t="shared" si="4"/>
        <v>#N/A</v>
      </c>
      <c r="M9" s="57" t="e">
        <f t="shared" si="4"/>
        <v>#N/A</v>
      </c>
      <c r="N9" s="57" t="e">
        <f t="shared" si="4"/>
        <v>#N/A</v>
      </c>
      <c r="R9" s="39"/>
    </row>
    <row r="10" spans="1:18">
      <c r="B10" s="53" t="s">
        <v>212</v>
      </c>
      <c r="C10" s="52" t="s">
        <v>190</v>
      </c>
      <c r="D10" s="60">
        <f>IF((D9-$C$9)/$C$9=0,NA(),(D9-$C$9)/$C$9)</f>
        <v>-0.12244897959183673</v>
      </c>
      <c r="E10" s="60">
        <f t="shared" ref="E10:N10" si="5">IF((E9-$C$9)/$C$9=0,NA(),(E9-$C$9)/$C$9)</f>
        <v>-0.10989010989010989</v>
      </c>
      <c r="F10" s="60">
        <f t="shared" si="5"/>
        <v>-0.16221873364730507</v>
      </c>
      <c r="G10" s="60">
        <f>IF((G9-$C$9)/$C$9=0,NA(),(G9-$C$9)/$C$9)</f>
        <v>-0.239141810570382</v>
      </c>
      <c r="H10" s="60" t="e">
        <f t="shared" si="5"/>
        <v>#N/A</v>
      </c>
      <c r="I10" s="60" t="e">
        <f t="shared" si="5"/>
        <v>#N/A</v>
      </c>
      <c r="J10" s="60" t="e">
        <f t="shared" si="5"/>
        <v>#N/A</v>
      </c>
      <c r="K10" s="60" t="e">
        <f t="shared" si="5"/>
        <v>#N/A</v>
      </c>
      <c r="L10" s="60" t="e">
        <f t="shared" si="5"/>
        <v>#N/A</v>
      </c>
      <c r="M10" s="60" t="e">
        <f t="shared" si="5"/>
        <v>#N/A</v>
      </c>
      <c r="N10" s="60" t="e">
        <f t="shared" si="5"/>
        <v>#N/A</v>
      </c>
    </row>
    <row r="11" spans="1:18">
      <c r="B11" t="s">
        <v>206</v>
      </c>
    </row>
    <row r="14" spans="1:18">
      <c r="B14" s="19" t="s">
        <v>127</v>
      </c>
      <c r="C14" s="51">
        <v>2019</v>
      </c>
      <c r="D14" s="51">
        <v>2020</v>
      </c>
      <c r="E14" s="51">
        <v>2021</v>
      </c>
      <c r="F14" s="51">
        <v>2022</v>
      </c>
      <c r="G14" s="51">
        <v>2023</v>
      </c>
      <c r="H14" s="51">
        <v>2024</v>
      </c>
      <c r="I14" s="51">
        <v>2025</v>
      </c>
      <c r="J14" s="51">
        <v>2026</v>
      </c>
      <c r="K14" s="51">
        <v>2027</v>
      </c>
      <c r="L14" s="51">
        <v>2028</v>
      </c>
      <c r="M14" s="51">
        <v>2029</v>
      </c>
      <c r="N14" s="51">
        <v>2030</v>
      </c>
    </row>
    <row r="15" spans="1:18">
      <c r="B15" s="46" t="s">
        <v>94</v>
      </c>
      <c r="C15" s="47" cm="1">
        <f t="array" ref="C15">(IFERROR(_xlfn.XLOOKUP($B15,'Brondata CO2'!$B$65:$B$69, _xlfn.XLOOKUP(Berekeningen!C$14,'Brondata CO2'!$C$64:$N$64,'Brondata CO2'!$C$65:$N$69))*1000,NA()))</f>
        <v>57700</v>
      </c>
      <c r="D15" s="47" cm="1">
        <f t="array" ref="D15">(IFERROR(_xlfn.XLOOKUP($B15,'Brondata CO2'!$B$65:$B$69, _xlfn.XLOOKUP(Berekeningen!D$14,'Brondata CO2'!$C$64:$N$64,'Brondata CO2'!$C$65:$N$69))*1000,NA()))</f>
        <v>53700</v>
      </c>
      <c r="E15" s="47" cm="1">
        <f t="array" ref="E15">(IFERROR(_xlfn.XLOOKUP($B15,'Brondata CO2'!$B$65:$B$69, _xlfn.XLOOKUP(Berekeningen!E$14,'Brondata CO2'!$C$64:$N$64,'Brondata CO2'!$C$65:$N$69))*1000,NA()))</f>
        <v>54600</v>
      </c>
      <c r="F15" s="47" cm="1">
        <f t="array" ref="F15">(IFERROR(_xlfn.XLOOKUP($B15,'Brondata CO2'!$B$65:$B$69, _xlfn.XLOOKUP(Berekeningen!F$14,'Brondata CO2'!$C$64:$N$64,'Brondata CO2'!$C$65:$N$69))*1000,NA()))</f>
        <v>47700</v>
      </c>
      <c r="G15" s="47" cm="1">
        <f t="array" ref="G15">(IFERROR(_xlfn.XLOOKUP($B15,'Brondata CO2'!$B$65:$B$69, _xlfn.XLOOKUP(Berekeningen!G$14,'Brondata CO2'!$C$64:$N$64,'Brondata CO2'!$C$65:$N$69))*1000,NA()))</f>
        <v>39800</v>
      </c>
      <c r="H15" s="47" t="e" cm="1">
        <f t="array" ref="H15">(IFERROR(_xlfn.XLOOKUP($B15,'Brondata CO2'!$B$65:$B$69, _xlfn.XLOOKUP(Berekeningen!H$14,'Brondata CO2'!$C$64:$N$64,'Brondata CO2'!$C$65:$N$69))*1000,NA()))</f>
        <v>#N/A</v>
      </c>
      <c r="I15" s="47" t="e" cm="1">
        <f t="array" ref="I15">(IFERROR(_xlfn.XLOOKUP($B15,'Brondata CO2'!$B$65:$B$69, _xlfn.XLOOKUP(Berekeningen!I$14,'Brondata CO2'!$C$64:$N$64,'Brondata CO2'!$C$65:$N$69))*1000,NA()))</f>
        <v>#N/A</v>
      </c>
      <c r="J15" s="47" t="e" cm="1">
        <f t="array" ref="J15">(IFERROR(_xlfn.XLOOKUP($B15,'Brondata CO2'!$B$65:$B$69, _xlfn.XLOOKUP(Berekeningen!J$14,'Brondata CO2'!$C$64:$N$64,'Brondata CO2'!$C$65:$N$69))*1000,NA()))</f>
        <v>#N/A</v>
      </c>
      <c r="K15" s="47" t="e" cm="1">
        <f t="array" ref="K15">(IFERROR(_xlfn.XLOOKUP($B15,'Brondata CO2'!$B$65:$B$69, _xlfn.XLOOKUP(Berekeningen!K$14,'Brondata CO2'!$C$64:$N$64,'Brondata CO2'!$C$65:$N$69))*1000,NA()))</f>
        <v>#N/A</v>
      </c>
      <c r="L15" s="47" t="e" cm="1">
        <f t="array" ref="L15">(IFERROR(_xlfn.XLOOKUP($B15,'Brondata CO2'!$B$65:$B$69, _xlfn.XLOOKUP(Berekeningen!L$14,'Brondata CO2'!$C$64:$N$64,'Brondata CO2'!$C$65:$N$69))*1000,NA()))</f>
        <v>#N/A</v>
      </c>
      <c r="M15" s="47" t="e" cm="1">
        <f t="array" ref="M15">(IFERROR(_xlfn.XLOOKUP($B15,'Brondata CO2'!$B$65:$B$69, _xlfn.XLOOKUP(Berekeningen!M$14,'Brondata CO2'!$C$64:$N$64,'Brondata CO2'!$C$65:$N$69))*1000,NA()))</f>
        <v>#N/A</v>
      </c>
      <c r="N15" s="47" t="e" cm="1">
        <f t="array" ref="N15">(IFERROR(_xlfn.XLOOKUP($B15,'Brondata CO2'!$B$65:$B$69, _xlfn.XLOOKUP(Berekeningen!N$14,'Brondata CO2'!$C$64:$N$64,'Brondata CO2'!$C$65:$N$69))*1000,NA()))</f>
        <v>#N/A</v>
      </c>
    </row>
    <row r="16" spans="1:18">
      <c r="B16" s="46" t="s">
        <v>95</v>
      </c>
      <c r="C16" s="47" cm="1">
        <f t="array" ref="C16">(IFERROR(_xlfn.XLOOKUP($B16,'Brondata CO2'!$B$65:$B$69, _xlfn.XLOOKUP(Berekeningen!C$14,'Brondata CO2'!$C$64:$N$64,'Brondata CO2'!$C$65:$N$69))*1000,NA()))</f>
        <v>26500</v>
      </c>
      <c r="D16" s="47" cm="1">
        <f t="array" ref="D16">(IFERROR(_xlfn.XLOOKUP($B16,'Brondata CO2'!$B$65:$B$69, _xlfn.XLOOKUP(Berekeningen!D$14,'Brondata CO2'!$C$64:$N$64,'Brondata CO2'!$C$65:$N$69))*1000,NA()))</f>
        <v>20700</v>
      </c>
      <c r="E16" s="47" cm="1">
        <f t="array" ref="E16">(IFERROR(_xlfn.XLOOKUP($B16,'Brondata CO2'!$B$65:$B$69, _xlfn.XLOOKUP(Berekeningen!E$14,'Brondata CO2'!$C$64:$N$64,'Brondata CO2'!$C$65:$N$69))*1000,NA()))</f>
        <v>20900</v>
      </c>
      <c r="F16" s="47" cm="1">
        <f t="array" ref="F16">(IFERROR(_xlfn.XLOOKUP($B16,'Brondata CO2'!$B$65:$B$69, _xlfn.XLOOKUP(Berekeningen!F$14,'Brondata CO2'!$C$64:$N$64,'Brondata CO2'!$C$65:$N$69))*1000,NA()))</f>
        <v>19200</v>
      </c>
      <c r="G16" s="47" cm="1">
        <f t="array" ref="G16">(IFERROR(_xlfn.XLOOKUP($B16,'Brondata CO2'!$B$65:$B$69, _xlfn.XLOOKUP(Berekeningen!G$14,'Brondata CO2'!$C$64:$N$64,'Brondata CO2'!$C$65:$N$69))*1000,NA()))</f>
        <v>16600</v>
      </c>
      <c r="H16" s="47" t="e" cm="1">
        <f t="array" ref="H16">(IFERROR(_xlfn.XLOOKUP($B16,'Brondata CO2'!$B$65:$B$69, _xlfn.XLOOKUP(Berekeningen!H$14,'Brondata CO2'!$C$64:$N$64,'Brondata CO2'!$C$65:$N$69))*1000,NA()))</f>
        <v>#N/A</v>
      </c>
      <c r="I16" s="47" t="e" cm="1">
        <f t="array" ref="I16">(IFERROR(_xlfn.XLOOKUP($B16,'Brondata CO2'!$B$65:$B$69, _xlfn.XLOOKUP(Berekeningen!I$14,'Brondata CO2'!$C$64:$N$64,'Brondata CO2'!$C$65:$N$69))*1000,NA()))</f>
        <v>#N/A</v>
      </c>
      <c r="J16" s="47" t="e" cm="1">
        <f t="array" ref="J16">(IFERROR(_xlfn.XLOOKUP($B16,'Brondata CO2'!$B$65:$B$69, _xlfn.XLOOKUP(Berekeningen!J$14,'Brondata CO2'!$C$64:$N$64,'Brondata CO2'!$C$65:$N$69))*1000,NA()))</f>
        <v>#N/A</v>
      </c>
      <c r="K16" s="47" t="e" cm="1">
        <f t="array" ref="K16">(IFERROR(_xlfn.XLOOKUP($B16,'Brondata CO2'!$B$65:$B$69, _xlfn.XLOOKUP(Berekeningen!K$14,'Brondata CO2'!$C$64:$N$64,'Brondata CO2'!$C$65:$N$69))*1000,NA()))</f>
        <v>#N/A</v>
      </c>
      <c r="L16" s="47" t="e" cm="1">
        <f t="array" ref="L16">(IFERROR(_xlfn.XLOOKUP($B16,'Brondata CO2'!$B$65:$B$69, _xlfn.XLOOKUP(Berekeningen!L$14,'Brondata CO2'!$C$64:$N$64,'Brondata CO2'!$C$65:$N$69))*1000,NA()))</f>
        <v>#N/A</v>
      </c>
      <c r="M16" s="47" t="e" cm="1">
        <f t="array" ref="M16">(IFERROR(_xlfn.XLOOKUP($B16,'Brondata CO2'!$B$65:$B$69, _xlfn.XLOOKUP(Berekeningen!M$14,'Brondata CO2'!$C$64:$N$64,'Brondata CO2'!$C$65:$N$69))*1000,NA()))</f>
        <v>#N/A</v>
      </c>
      <c r="N16" s="47" t="e" cm="1">
        <f t="array" ref="N16">(IFERROR(_xlfn.XLOOKUP($B16,'Brondata CO2'!$B$65:$B$69, _xlfn.XLOOKUP(Berekeningen!N$14,'Brondata CO2'!$C$64:$N$64,'Brondata CO2'!$C$65:$N$69))*1000,NA()))</f>
        <v>#N/A</v>
      </c>
    </row>
    <row r="17" spans="2:14">
      <c r="B17" s="46" t="s">
        <v>96</v>
      </c>
      <c r="C17" s="47" cm="1">
        <f t="array" ref="C17">(IFERROR(_xlfn.XLOOKUP($B17,'Brondata CO2'!$B$65:$B$69, _xlfn.XLOOKUP(Berekeningen!C$14,'Brondata CO2'!$C$64:$N$64,'Brondata CO2'!$C$65:$N$69))*1000,NA()))</f>
        <v>16900</v>
      </c>
      <c r="D17" s="47" cm="1">
        <f t="array" ref="D17">(IFERROR(_xlfn.XLOOKUP($B17,'Brondata CO2'!$B$65:$B$69, _xlfn.XLOOKUP(Berekeningen!D$14,'Brondata CO2'!$C$64:$N$64,'Brondata CO2'!$C$65:$N$69))*1000,NA()))</f>
        <v>14599.999999999995</v>
      </c>
      <c r="E17" s="47" cm="1">
        <f t="array" ref="E17">(IFERROR(_xlfn.XLOOKUP($B17,'Brondata CO2'!$B$65:$B$69, _xlfn.XLOOKUP(Berekeningen!E$14,'Brondata CO2'!$C$64:$N$64,'Brondata CO2'!$C$65:$N$69))*1000,NA()))</f>
        <v>13300</v>
      </c>
      <c r="F17" s="47" cm="1">
        <f t="array" ref="F17">(IFERROR(_xlfn.XLOOKUP($B17,'Brondata CO2'!$B$65:$B$69, _xlfn.XLOOKUP(Berekeningen!F$14,'Brondata CO2'!$C$64:$N$64,'Brondata CO2'!$C$65:$N$69))*1000,NA()))</f>
        <v>11200</v>
      </c>
      <c r="G17" s="47" cm="1">
        <f t="array" ref="G17">(IFERROR(_xlfn.XLOOKUP($B17,'Brondata CO2'!$B$65:$B$69, _xlfn.XLOOKUP(Berekeningen!G$14,'Brondata CO2'!$C$64:$N$64,'Brondata CO2'!$C$65:$N$69))*1000,NA()))</f>
        <v>9600</v>
      </c>
      <c r="H17" s="47" t="e" cm="1">
        <f t="array" ref="H17">(IFERROR(_xlfn.XLOOKUP($B17,'Brondata CO2'!$B$65:$B$69, _xlfn.XLOOKUP(Berekeningen!H$14,'Brondata CO2'!$C$64:$N$64,'Brondata CO2'!$C$65:$N$69))*1000,NA()))</f>
        <v>#N/A</v>
      </c>
      <c r="I17" s="47" t="e" cm="1">
        <f t="array" ref="I17">(IFERROR(_xlfn.XLOOKUP($B17,'Brondata CO2'!$B$65:$B$69, _xlfn.XLOOKUP(Berekeningen!I$14,'Brondata CO2'!$C$64:$N$64,'Brondata CO2'!$C$65:$N$69))*1000,NA()))</f>
        <v>#N/A</v>
      </c>
      <c r="J17" s="47" t="e" cm="1">
        <f t="array" ref="J17">(IFERROR(_xlfn.XLOOKUP($B17,'Brondata CO2'!$B$65:$B$69, _xlfn.XLOOKUP(Berekeningen!J$14,'Brondata CO2'!$C$64:$N$64,'Brondata CO2'!$C$65:$N$69))*1000,NA()))</f>
        <v>#N/A</v>
      </c>
      <c r="K17" s="47" t="e" cm="1">
        <f t="array" ref="K17">(IFERROR(_xlfn.XLOOKUP($B17,'Brondata CO2'!$B$65:$B$69, _xlfn.XLOOKUP(Berekeningen!K$14,'Brondata CO2'!$C$64:$N$64,'Brondata CO2'!$C$65:$N$69))*1000,NA()))</f>
        <v>#N/A</v>
      </c>
      <c r="L17" s="47" t="e" cm="1">
        <f t="array" ref="L17">(IFERROR(_xlfn.XLOOKUP($B17,'Brondata CO2'!$B$65:$B$69, _xlfn.XLOOKUP(Berekeningen!L$14,'Brondata CO2'!$C$64:$N$64,'Brondata CO2'!$C$65:$N$69))*1000,NA()))</f>
        <v>#N/A</v>
      </c>
      <c r="M17" s="47" t="e" cm="1">
        <f t="array" ref="M17">(IFERROR(_xlfn.XLOOKUP($B17,'Brondata CO2'!$B$65:$B$69, _xlfn.XLOOKUP(Berekeningen!M$14,'Brondata CO2'!$C$64:$N$64,'Brondata CO2'!$C$65:$N$69))*1000,NA()))</f>
        <v>#N/A</v>
      </c>
      <c r="N17" s="47" t="e" cm="1">
        <f t="array" ref="N17">(IFERROR(_xlfn.XLOOKUP($B17,'Brondata CO2'!$B$65:$B$69, _xlfn.XLOOKUP(Berekeningen!N$14,'Brondata CO2'!$C$64:$N$64,'Brondata CO2'!$C$65:$N$69))*1000,NA()))</f>
        <v>#N/A</v>
      </c>
    </row>
    <row r="18" spans="2:14" ht="16.2" thickBot="1">
      <c r="B18" s="58" t="s">
        <v>97</v>
      </c>
      <c r="C18" s="47" cm="1">
        <f t="array" ref="C18">(IFERROR(_xlfn.XLOOKUP($B18,'Brondata CO2'!$B$65:$B$69, _xlfn.XLOOKUP(Berekeningen!C$14,'Brondata CO2'!$C$64:$N$64,'Brondata CO2'!$C$65:$N$69))*1000,NA()))</f>
        <v>100</v>
      </c>
      <c r="D18" s="47" cm="1">
        <f t="array" ref="D18">(IFERROR(_xlfn.XLOOKUP($B18,'Brondata CO2'!$B$65:$B$69, _xlfn.XLOOKUP(Berekeningen!D$14,'Brondata CO2'!$C$64:$N$64,'Brondata CO2'!$C$65:$N$69))*1000,NA()))</f>
        <v>100</v>
      </c>
      <c r="E18" s="47" cm="1">
        <f t="array" ref="E18">(IFERROR(_xlfn.XLOOKUP($B18,'Brondata CO2'!$B$65:$B$69, _xlfn.XLOOKUP(Berekeningen!E$14,'Brondata CO2'!$C$64:$N$64,'Brondata CO2'!$C$65:$N$69))*1000,NA()))</f>
        <v>200</v>
      </c>
      <c r="F18" s="47" cm="1">
        <f t="array" ref="F18">(IFERROR(_xlfn.XLOOKUP($B18,'Brondata CO2'!$B$65:$B$69, _xlfn.XLOOKUP(Berekeningen!F$14,'Brondata CO2'!$C$64:$N$64,'Brondata CO2'!$C$65:$N$69))*1000,NA()))</f>
        <v>300</v>
      </c>
      <c r="G18" s="47" cm="1">
        <f t="array" ref="G18">(IFERROR(_xlfn.XLOOKUP($B18,'Brondata CO2'!$B$65:$B$69, _xlfn.XLOOKUP(Berekeningen!G$14,'Brondata CO2'!$C$64:$N$64,'Brondata CO2'!$C$65:$N$69))*1000,NA()))</f>
        <v>500</v>
      </c>
      <c r="H18" s="47" t="e" cm="1">
        <f t="array" ref="H18">(IFERROR(_xlfn.XLOOKUP($B18,'Brondata CO2'!$B$65:$B$69, _xlfn.XLOOKUP(Berekeningen!H$14,'Brondata CO2'!$C$64:$N$64,'Brondata CO2'!$C$65:$N$69))*1000,NA()))</f>
        <v>#N/A</v>
      </c>
      <c r="I18" s="47" t="e" cm="1">
        <f t="array" ref="I18">(IFERROR(_xlfn.XLOOKUP($B18,'Brondata CO2'!$B$65:$B$69, _xlfn.XLOOKUP(Berekeningen!I$14,'Brondata CO2'!$C$64:$N$64,'Brondata CO2'!$C$65:$N$69))*1000,NA()))</f>
        <v>#N/A</v>
      </c>
      <c r="J18" s="47" t="e" cm="1">
        <f t="array" ref="J18">(IFERROR(_xlfn.XLOOKUP($B18,'Brondata CO2'!$B$65:$B$69, _xlfn.XLOOKUP(Berekeningen!J$14,'Brondata CO2'!$C$64:$N$64,'Brondata CO2'!$C$65:$N$69))*1000,NA()))</f>
        <v>#N/A</v>
      </c>
      <c r="K18" s="47" t="e" cm="1">
        <f t="array" ref="K18">(IFERROR(_xlfn.XLOOKUP($B18,'Brondata CO2'!$B$65:$B$69, _xlfn.XLOOKUP(Berekeningen!K$14,'Brondata CO2'!$C$64:$N$64,'Brondata CO2'!$C$65:$N$69))*1000,NA()))</f>
        <v>#N/A</v>
      </c>
      <c r="L18" s="47" t="e" cm="1">
        <f t="array" ref="L18">(IFERROR(_xlfn.XLOOKUP($B18,'Brondata CO2'!$B$65:$B$69, _xlfn.XLOOKUP(Berekeningen!L$14,'Brondata CO2'!$C$64:$N$64,'Brondata CO2'!$C$65:$N$69))*1000,NA()))</f>
        <v>#N/A</v>
      </c>
      <c r="M18" s="47" t="e" cm="1">
        <f t="array" ref="M18">(IFERROR(_xlfn.XLOOKUP($B18,'Brondata CO2'!$B$65:$B$69, _xlfn.XLOOKUP(Berekeningen!M$14,'Brondata CO2'!$C$64:$N$64,'Brondata CO2'!$C$65:$N$69))*1000,NA()))</f>
        <v>#N/A</v>
      </c>
      <c r="N18" s="47" t="e" cm="1">
        <f t="array" ref="N18">(IFERROR(_xlfn.XLOOKUP($B18,'Brondata CO2'!$B$65:$B$69, _xlfn.XLOOKUP(Berekeningen!N$14,'Brondata CO2'!$C$64:$N$64,'Brondata CO2'!$C$65:$N$69))*1000,NA()))</f>
        <v>#N/A</v>
      </c>
    </row>
    <row r="19" spans="2:14" ht="16.2" thickTop="1">
      <c r="B19" s="56" t="s">
        <v>131</v>
      </c>
      <c r="C19" s="57">
        <f>IF(SUM(C15:C18)=0,NA(), SUM(C15:C18))</f>
        <v>101200</v>
      </c>
      <c r="D19" s="57">
        <f t="shared" ref="D19:N19" si="6">IF(SUM(D15:D18)=0,NA(), SUM(D15:D18))</f>
        <v>89100</v>
      </c>
      <c r="E19" s="57">
        <f t="shared" si="6"/>
        <v>89000</v>
      </c>
      <c r="F19" s="57">
        <f t="shared" si="6"/>
        <v>78400</v>
      </c>
      <c r="G19" s="57">
        <f>IF(SUM(G15:G18)=0,NA(), SUM(G15:G18))</f>
        <v>66500</v>
      </c>
      <c r="H19" s="57" t="e">
        <f t="shared" si="6"/>
        <v>#N/A</v>
      </c>
      <c r="I19" s="57" t="e">
        <f t="shared" si="6"/>
        <v>#N/A</v>
      </c>
      <c r="J19" s="57" t="e">
        <f t="shared" si="6"/>
        <v>#N/A</v>
      </c>
      <c r="K19" s="57" t="e">
        <f t="shared" si="6"/>
        <v>#N/A</v>
      </c>
      <c r="L19" s="57" t="e">
        <f t="shared" si="6"/>
        <v>#N/A</v>
      </c>
      <c r="M19" s="57" t="e">
        <f t="shared" si="6"/>
        <v>#N/A</v>
      </c>
      <c r="N19" s="57" t="e">
        <f t="shared" si="6"/>
        <v>#N/A</v>
      </c>
    </row>
    <row r="20" spans="2:14">
      <c r="B20" s="53" t="s">
        <v>212</v>
      </c>
      <c r="C20" s="54"/>
      <c r="D20" s="55">
        <f>IF((D19-$C$19)/$C$19=0,NA(),(D19-$C$19)/$C$19)</f>
        <v>-0.11956521739130435</v>
      </c>
      <c r="E20" s="55">
        <f t="shared" ref="E20:N20" si="7">IF((E19-$C$19)/$C$19=0,NA(),(E19-$C$19)/$C$19)</f>
        <v>-0.12055335968379446</v>
      </c>
      <c r="F20" s="55">
        <f t="shared" si="7"/>
        <v>-0.22529644268774704</v>
      </c>
      <c r="G20" s="55">
        <f t="shared" si="7"/>
        <v>-0.34288537549407117</v>
      </c>
      <c r="H20" s="55" t="e">
        <f t="shared" si="7"/>
        <v>#N/A</v>
      </c>
      <c r="I20" s="55" t="e">
        <f t="shared" si="7"/>
        <v>#N/A</v>
      </c>
      <c r="J20" s="55" t="e">
        <f t="shared" si="7"/>
        <v>#N/A</v>
      </c>
      <c r="K20" s="55" t="e">
        <f t="shared" si="7"/>
        <v>#N/A</v>
      </c>
      <c r="L20" s="55" t="e">
        <f t="shared" si="7"/>
        <v>#N/A</v>
      </c>
      <c r="M20" s="55" t="e">
        <f t="shared" si="7"/>
        <v>#N/A</v>
      </c>
      <c r="N20" s="55" t="e">
        <f t="shared" si="7"/>
        <v>#N/A</v>
      </c>
    </row>
    <row r="21" spans="2:14">
      <c r="B21" s="50"/>
      <c r="D21" s="39"/>
      <c r="E21" s="39"/>
      <c r="F21" s="39"/>
      <c r="H21" s="39"/>
      <c r="I21" s="39"/>
      <c r="J21" s="39"/>
      <c r="K21" s="39"/>
      <c r="L21" s="39"/>
      <c r="M21" s="39"/>
      <c r="N21" s="39"/>
    </row>
    <row r="23" spans="2:14">
      <c r="B23" s="19" t="s">
        <v>128</v>
      </c>
      <c r="C23" s="51">
        <v>2019</v>
      </c>
      <c r="D23" s="51">
        <v>2020</v>
      </c>
      <c r="E23" s="51">
        <v>2021</v>
      </c>
      <c r="F23" s="51">
        <v>2022</v>
      </c>
      <c r="G23" s="51">
        <v>2023</v>
      </c>
      <c r="H23" s="51">
        <v>2024</v>
      </c>
      <c r="I23" s="51">
        <v>2025</v>
      </c>
      <c r="J23" s="51">
        <v>2026</v>
      </c>
      <c r="K23" s="51">
        <v>2027</v>
      </c>
      <c r="L23" s="51">
        <v>2028</v>
      </c>
      <c r="M23" s="51">
        <v>2029</v>
      </c>
      <c r="N23" s="51">
        <v>2030</v>
      </c>
    </row>
    <row r="24" spans="2:14">
      <c r="B24" s="46" t="s">
        <v>20</v>
      </c>
      <c r="C24" s="47" cm="1">
        <f t="array" ref="C24">IFERROR(_xlfn.XLOOKUP($B24,'Brondata CO2'!$B$101:$B$105, _xlfn.XLOOKUP(Berekeningen!C$23,'Brondata CO2'!$C$100:$N$100,'Brondata CO2'!$C$101:$N$105))*1000,NA())</f>
        <v>45700</v>
      </c>
      <c r="D24" s="47" cm="1">
        <f t="array" ref="D24">IFERROR(_xlfn.XLOOKUP($B24,'Brondata CO2'!$B$101:$B$105, _xlfn.XLOOKUP(Berekeningen!D$23,'Brondata CO2'!$C$100:$N$100,'Brondata CO2'!$C$101:$N$105))*1000,NA())</f>
        <v>38500</v>
      </c>
      <c r="E24" s="47" cm="1">
        <f t="array" ref="E24">IFERROR(_xlfn.XLOOKUP($B24,'Brondata CO2'!$B$101:$B$105, _xlfn.XLOOKUP(Berekeningen!E$23,'Brondata CO2'!$C$100:$N$100,'Brondata CO2'!$C$101:$N$105))*1000,NA())</f>
        <v>39600</v>
      </c>
      <c r="F24" s="47" cm="1">
        <f t="array" ref="F24">IFERROR(_xlfn.XLOOKUP($B24,'Brondata CO2'!$B$101:$B$105, _xlfn.XLOOKUP(Berekeningen!F$23,'Brondata CO2'!$C$100:$N$100,'Brondata CO2'!$C$101:$N$105))*1000,NA())</f>
        <v>40400</v>
      </c>
      <c r="G24" s="47" cm="1">
        <f t="array" ref="G24">IFERROR(_xlfn.XLOOKUP($B24,'Brondata CO2'!$B$101:$B$105, _xlfn.XLOOKUP(Berekeningen!G$23,'Brondata CO2'!$C$100:$N$100,'Brondata CO2'!$C$101:$N$105))*1000,NA())</f>
        <v>40900</v>
      </c>
      <c r="H24" s="47" t="e" cm="1">
        <f t="array" ref="H24">IFERROR(_xlfn.XLOOKUP($B24,'Brondata CO2'!$B$101:$B$105, _xlfn.XLOOKUP(Berekeningen!H$23,'Brondata CO2'!$C$100:$N$100,'Brondata CO2'!$C$101:$N$105))*1000,NA())</f>
        <v>#N/A</v>
      </c>
      <c r="I24" s="47" t="e" cm="1">
        <f t="array" ref="I24">IFERROR(_xlfn.XLOOKUP($B24,'Brondata CO2'!$B$101:$B$105, _xlfn.XLOOKUP(Berekeningen!I$23,'Brondata CO2'!$C$100:$N$100,'Brondata CO2'!$C$101:$N$105))*1000,NA())</f>
        <v>#N/A</v>
      </c>
      <c r="J24" s="47" t="e" cm="1">
        <f t="array" ref="J24">IFERROR(_xlfn.XLOOKUP($B24,'Brondata CO2'!$B$101:$B$105, _xlfn.XLOOKUP(Berekeningen!J$23,'Brondata CO2'!$C$100:$N$100,'Brondata CO2'!$C$101:$N$105))*1000,NA())</f>
        <v>#N/A</v>
      </c>
      <c r="K24" s="47" t="e" cm="1">
        <f t="array" ref="K24">IFERROR(_xlfn.XLOOKUP($B24,'Brondata CO2'!$B$101:$B$105, _xlfn.XLOOKUP(Berekeningen!K$23,'Brondata CO2'!$C$100:$N$100,'Brondata CO2'!$C$101:$N$105))*1000,NA())</f>
        <v>#N/A</v>
      </c>
      <c r="L24" s="47" t="e" cm="1">
        <f t="array" ref="L24">IFERROR(_xlfn.XLOOKUP($B24,'Brondata CO2'!$B$101:$B$105, _xlfn.XLOOKUP(Berekeningen!L$23,'Brondata CO2'!$C$100:$N$100,'Brondata CO2'!$C$101:$N$105))*1000,NA())</f>
        <v>#N/A</v>
      </c>
      <c r="M24" s="47" t="e" cm="1">
        <f t="array" ref="M24">IFERROR(_xlfn.XLOOKUP($B24,'Brondata CO2'!$B$101:$B$105, _xlfn.XLOOKUP(Berekeningen!M$23,'Brondata CO2'!$C$100:$N$100,'Brondata CO2'!$C$101:$N$105))*1000,NA())</f>
        <v>#N/A</v>
      </c>
      <c r="N24" s="47" t="e" cm="1">
        <f t="array" ref="N24">IFERROR(_xlfn.XLOOKUP($B24,'Brondata CO2'!$B$101:$B$105, _xlfn.XLOOKUP(Berekeningen!N$23,'Brondata CO2'!$C$100:$N$100,'Brondata CO2'!$C$101:$N$105))*1000,NA())</f>
        <v>#N/A</v>
      </c>
    </row>
    <row r="25" spans="2:14">
      <c r="B25" s="46" t="s">
        <v>21</v>
      </c>
      <c r="C25" s="47" cm="1">
        <f t="array" ref="C25">IFERROR(_xlfn.XLOOKUP($B25,'Brondata CO2'!$B$101:$B$105, _xlfn.XLOOKUP(Berekeningen!C$23,'Brondata CO2'!$C$100:$N$100,'Brondata CO2'!$C$101:$N$105))*1000,NA())</f>
        <v>5600</v>
      </c>
      <c r="D25" s="47" cm="1">
        <f t="array" ref="D25">IFERROR(_xlfn.XLOOKUP($B25,'Brondata CO2'!$B$101:$B$105, _xlfn.XLOOKUP(Berekeningen!D$23,'Brondata CO2'!$C$100:$N$100,'Brondata CO2'!$C$101:$N$105))*1000,NA())</f>
        <v>4300</v>
      </c>
      <c r="E25" s="47" cm="1">
        <f t="array" ref="E25">IFERROR(_xlfn.XLOOKUP($B25,'Brondata CO2'!$B$101:$B$105, _xlfn.XLOOKUP(Berekeningen!E$23,'Brondata CO2'!$C$100:$N$100,'Brondata CO2'!$C$101:$N$105))*1000,NA())</f>
        <v>4100</v>
      </c>
      <c r="F25" s="47" cm="1">
        <f t="array" ref="F25">IFERROR(_xlfn.XLOOKUP($B25,'Brondata CO2'!$B$101:$B$105, _xlfn.XLOOKUP(Berekeningen!F$23,'Brondata CO2'!$C$100:$N$100,'Brondata CO2'!$C$101:$N$105))*1000,NA())</f>
        <v>4100</v>
      </c>
      <c r="G25" s="47" cm="1">
        <f t="array" ref="G25">IFERROR(_xlfn.XLOOKUP($B25,'Brondata CO2'!$B$101:$B$105, _xlfn.XLOOKUP(Berekeningen!G$23,'Brondata CO2'!$C$100:$N$100,'Brondata CO2'!$C$101:$N$105))*1000,NA())</f>
        <v>4100</v>
      </c>
      <c r="H25" s="47" t="e" cm="1">
        <f t="array" ref="H25">IFERROR(_xlfn.XLOOKUP($B25,'Brondata CO2'!$B$101:$B$105, _xlfn.XLOOKUP(Berekeningen!H$23,'Brondata CO2'!$C$100:$N$100,'Brondata CO2'!$C$101:$N$105))*1000,NA())</f>
        <v>#N/A</v>
      </c>
      <c r="I25" s="47" t="e" cm="1">
        <f t="array" ref="I25">IFERROR(_xlfn.XLOOKUP($B25,'Brondata CO2'!$B$101:$B$105, _xlfn.XLOOKUP(Berekeningen!I$23,'Brondata CO2'!$C$100:$N$100,'Brondata CO2'!$C$101:$N$105))*1000,NA())</f>
        <v>#N/A</v>
      </c>
      <c r="J25" s="47" t="e" cm="1">
        <f t="array" ref="J25">IFERROR(_xlfn.XLOOKUP($B25,'Brondata CO2'!$B$101:$B$105, _xlfn.XLOOKUP(Berekeningen!J$23,'Brondata CO2'!$C$100:$N$100,'Brondata CO2'!$C$101:$N$105))*1000,NA())</f>
        <v>#N/A</v>
      </c>
      <c r="K25" s="47" t="e" cm="1">
        <f t="array" ref="K25">IFERROR(_xlfn.XLOOKUP($B25,'Brondata CO2'!$B$101:$B$105, _xlfn.XLOOKUP(Berekeningen!K$23,'Brondata CO2'!$C$100:$N$100,'Brondata CO2'!$C$101:$N$105))*1000,NA())</f>
        <v>#N/A</v>
      </c>
      <c r="L25" s="47" t="e" cm="1">
        <f t="array" ref="L25">IFERROR(_xlfn.XLOOKUP($B25,'Brondata CO2'!$B$101:$B$105, _xlfn.XLOOKUP(Berekeningen!L$23,'Brondata CO2'!$C$100:$N$100,'Brondata CO2'!$C$101:$N$105))*1000,NA())</f>
        <v>#N/A</v>
      </c>
      <c r="M25" s="47" t="e" cm="1">
        <f t="array" ref="M25">IFERROR(_xlfn.XLOOKUP($B25,'Brondata CO2'!$B$101:$B$105, _xlfn.XLOOKUP(Berekeningen!M$23,'Brondata CO2'!$C$100:$N$100,'Brondata CO2'!$C$101:$N$105))*1000,NA())</f>
        <v>#N/A</v>
      </c>
      <c r="N25" s="47" t="e" cm="1">
        <f t="array" ref="N25">IFERROR(_xlfn.XLOOKUP($B25,'Brondata CO2'!$B$101:$B$105, _xlfn.XLOOKUP(Berekeningen!N$23,'Brondata CO2'!$C$100:$N$100,'Brondata CO2'!$C$101:$N$105))*1000,NA())</f>
        <v>#N/A</v>
      </c>
    </row>
    <row r="26" spans="2:14">
      <c r="B26" s="46" t="s">
        <v>22</v>
      </c>
      <c r="C26" s="47" cm="1">
        <f t="array" ref="C26">IFERROR(_xlfn.XLOOKUP($B26,'Brondata CO2'!$B$101:$B$105, _xlfn.XLOOKUP(Berekeningen!C$23,'Brondata CO2'!$C$100:$N$100,'Brondata CO2'!$C$101:$N$105))*1000,NA())</f>
        <v>300</v>
      </c>
      <c r="D26" s="47" cm="1">
        <f t="array" ref="D26">IFERROR(_xlfn.XLOOKUP($B26,'Brondata CO2'!$B$101:$B$105, _xlfn.XLOOKUP(Berekeningen!D$23,'Brondata CO2'!$C$100:$N$100,'Brondata CO2'!$C$101:$N$105))*1000,NA())</f>
        <v>100</v>
      </c>
      <c r="E26" s="47" cm="1">
        <f t="array" ref="E26">IFERROR(_xlfn.XLOOKUP($B26,'Brondata CO2'!$B$101:$B$105, _xlfn.XLOOKUP(Berekeningen!E$23,'Brondata CO2'!$C$100:$N$100,'Brondata CO2'!$C$101:$N$105))*1000,NA())</f>
        <v>100</v>
      </c>
      <c r="F26" s="47" cm="1">
        <f t="array" ref="F26">IFERROR(_xlfn.XLOOKUP($B26,'Brondata CO2'!$B$101:$B$105, _xlfn.XLOOKUP(Berekeningen!F$23,'Brondata CO2'!$C$100:$N$100,'Brondata CO2'!$C$101:$N$105))*1000,NA())</f>
        <v>400</v>
      </c>
      <c r="G26" s="47" cm="1">
        <f t="array" ref="G26">IFERROR(_xlfn.XLOOKUP($B26,'Brondata CO2'!$B$101:$B$105, _xlfn.XLOOKUP(Berekeningen!G$23,'Brondata CO2'!$C$100:$N$100,'Brondata CO2'!$C$101:$N$105))*1000,NA())</f>
        <v>400</v>
      </c>
      <c r="H26" s="47" t="e" cm="1">
        <f t="array" ref="H26">IFERROR(_xlfn.XLOOKUP($B26,'Brondata CO2'!$B$101:$B$105, _xlfn.XLOOKUP(Berekeningen!H$23,'Brondata CO2'!$C$100:$N$100,'Brondata CO2'!$C$101:$N$105))*1000,NA())</f>
        <v>#N/A</v>
      </c>
      <c r="I26" s="47" t="e" cm="1">
        <f t="array" ref="I26">IFERROR(_xlfn.XLOOKUP($B26,'Brondata CO2'!$B$101:$B$105, _xlfn.XLOOKUP(Berekeningen!I$23,'Brondata CO2'!$C$100:$N$100,'Brondata CO2'!$C$101:$N$105))*1000,NA())</f>
        <v>#N/A</v>
      </c>
      <c r="J26" s="47" t="e" cm="1">
        <f t="array" ref="J26">IFERROR(_xlfn.XLOOKUP($B26,'Brondata CO2'!$B$101:$B$105, _xlfn.XLOOKUP(Berekeningen!J$23,'Brondata CO2'!$C$100:$N$100,'Brondata CO2'!$C$101:$N$105))*1000,NA())</f>
        <v>#N/A</v>
      </c>
      <c r="K26" s="47" t="e" cm="1">
        <f t="array" ref="K26">IFERROR(_xlfn.XLOOKUP($B26,'Brondata CO2'!$B$101:$B$105, _xlfn.XLOOKUP(Berekeningen!K$23,'Brondata CO2'!$C$100:$N$100,'Brondata CO2'!$C$101:$N$105))*1000,NA())</f>
        <v>#N/A</v>
      </c>
      <c r="L26" s="47" t="e" cm="1">
        <f t="array" ref="L26">IFERROR(_xlfn.XLOOKUP($B26,'Brondata CO2'!$B$101:$B$105, _xlfn.XLOOKUP(Berekeningen!L$23,'Brondata CO2'!$C$100:$N$100,'Brondata CO2'!$C$101:$N$105))*1000,NA())</f>
        <v>#N/A</v>
      </c>
      <c r="M26" s="47" t="e" cm="1">
        <f t="array" ref="M26">IFERROR(_xlfn.XLOOKUP($B26,'Brondata CO2'!$B$101:$B$105, _xlfn.XLOOKUP(Berekeningen!M$23,'Brondata CO2'!$C$100:$N$100,'Brondata CO2'!$C$101:$N$105))*1000,NA())</f>
        <v>#N/A</v>
      </c>
      <c r="N26" s="47" t="e" cm="1">
        <f t="array" ref="N26">IFERROR(_xlfn.XLOOKUP($B26,'Brondata CO2'!$B$101:$B$105, _xlfn.XLOOKUP(Berekeningen!N$23,'Brondata CO2'!$C$100:$N$100,'Brondata CO2'!$C$101:$N$105))*1000,NA())</f>
        <v>#N/A</v>
      </c>
    </row>
    <row r="27" spans="2:14">
      <c r="B27" s="46" t="s">
        <v>23</v>
      </c>
      <c r="C27" s="47" cm="1">
        <f t="array" ref="C27">IFERROR(_xlfn.XLOOKUP($B27,'Brondata CO2'!$B$101:$B$105, _xlfn.XLOOKUP(Berekeningen!C$23,'Brondata CO2'!$C$100:$N$100,'Brondata CO2'!$C$101:$N$105))*1000,NA())</f>
        <v>0</v>
      </c>
      <c r="D27" s="47" cm="1">
        <f t="array" ref="D27">IFERROR(_xlfn.XLOOKUP($B27,'Brondata CO2'!$B$101:$B$105, _xlfn.XLOOKUP(Berekeningen!D$23,'Brondata CO2'!$C$100:$N$100,'Brondata CO2'!$C$101:$N$105))*1000,NA())</f>
        <v>0</v>
      </c>
      <c r="E27" s="47" cm="1">
        <f t="array" ref="E27">IFERROR(_xlfn.XLOOKUP($B27,'Brondata CO2'!$B$101:$B$105, _xlfn.XLOOKUP(Berekeningen!E$23,'Brondata CO2'!$C$100:$N$100,'Brondata CO2'!$C$101:$N$105))*1000,NA())</f>
        <v>0</v>
      </c>
      <c r="F27" s="47" cm="1">
        <f t="array" ref="F27">IFERROR(_xlfn.XLOOKUP($B27,'Brondata CO2'!$B$101:$B$105, _xlfn.XLOOKUP(Berekeningen!F$23,'Brondata CO2'!$C$100:$N$100,'Brondata CO2'!$C$101:$N$105))*1000,NA())</f>
        <v>0</v>
      </c>
      <c r="G27" s="47" cm="1">
        <f t="array" ref="G27">IFERROR(_xlfn.XLOOKUP($B27,'Brondata CO2'!$B$101:$B$105, _xlfn.XLOOKUP(Berekeningen!G$23,'Brondata CO2'!$C$100:$N$100,'Brondata CO2'!$C$101:$N$105))*1000,NA())</f>
        <v>0</v>
      </c>
      <c r="H27" s="47" t="e" cm="1">
        <f t="array" ref="H27">IFERROR(_xlfn.XLOOKUP($B27,'Brondata CO2'!$B$101:$B$105, _xlfn.XLOOKUP(Berekeningen!H$23,'Brondata CO2'!$C$100:$N$100,'Brondata CO2'!$C$101:$N$105))*1000,NA())</f>
        <v>#N/A</v>
      </c>
      <c r="I27" s="47" t="e" cm="1">
        <f t="array" ref="I27">IFERROR(_xlfn.XLOOKUP($B27,'Brondata CO2'!$B$101:$B$105, _xlfn.XLOOKUP(Berekeningen!I$23,'Brondata CO2'!$C$100:$N$100,'Brondata CO2'!$C$101:$N$105))*1000,NA())</f>
        <v>#N/A</v>
      </c>
      <c r="J27" s="47" t="e" cm="1">
        <f t="array" ref="J27">IFERROR(_xlfn.XLOOKUP($B27,'Brondata CO2'!$B$101:$B$105, _xlfn.XLOOKUP(Berekeningen!J$23,'Brondata CO2'!$C$100:$N$100,'Brondata CO2'!$C$101:$N$105))*1000,NA())</f>
        <v>#N/A</v>
      </c>
      <c r="K27" s="47" t="e" cm="1">
        <f t="array" ref="K27">IFERROR(_xlfn.XLOOKUP($B27,'Brondata CO2'!$B$101:$B$105, _xlfn.XLOOKUP(Berekeningen!K$23,'Brondata CO2'!$C$100:$N$100,'Brondata CO2'!$C$101:$N$105))*1000,NA())</f>
        <v>#N/A</v>
      </c>
      <c r="L27" s="47" t="e" cm="1">
        <f t="array" ref="L27">IFERROR(_xlfn.XLOOKUP($B27,'Brondata CO2'!$B$101:$B$105, _xlfn.XLOOKUP(Berekeningen!L$23,'Brondata CO2'!$C$100:$N$100,'Brondata CO2'!$C$101:$N$105))*1000,NA())</f>
        <v>#N/A</v>
      </c>
      <c r="M27" s="47" t="e" cm="1">
        <f t="array" ref="M27">IFERROR(_xlfn.XLOOKUP($B27,'Brondata CO2'!$B$101:$B$105, _xlfn.XLOOKUP(Berekeningen!M$23,'Brondata CO2'!$C$100:$N$100,'Brondata CO2'!$C$101:$N$105))*1000,NA())</f>
        <v>#N/A</v>
      </c>
      <c r="N27" s="47" t="e" cm="1">
        <f t="array" ref="N27">IFERROR(_xlfn.XLOOKUP($B27,'Brondata CO2'!$B$101:$B$105, _xlfn.XLOOKUP(Berekeningen!N$23,'Brondata CO2'!$C$100:$N$100,'Brondata CO2'!$C$101:$N$105))*1000,NA())</f>
        <v>#N/A</v>
      </c>
    </row>
    <row r="28" spans="2:14" ht="16.2" thickBot="1">
      <c r="B28" s="66" t="s">
        <v>131</v>
      </c>
      <c r="C28" s="67">
        <f>IF(SUM(C24:C27)=0,NA(),SUM(C24:C27))</f>
        <v>51600</v>
      </c>
      <c r="D28" s="67">
        <f t="shared" ref="D28:N28" si="8">IF(SUM(D24:D27)=0,NA(),SUM(D24:D27))</f>
        <v>42900</v>
      </c>
      <c r="E28" s="67">
        <f t="shared" si="8"/>
        <v>43800</v>
      </c>
      <c r="F28" s="67">
        <f t="shared" si="8"/>
        <v>44900</v>
      </c>
      <c r="G28" s="67">
        <f t="shared" si="8"/>
        <v>45400</v>
      </c>
      <c r="H28" s="67" t="e">
        <f t="shared" si="8"/>
        <v>#N/A</v>
      </c>
      <c r="I28" s="67" t="e">
        <f t="shared" si="8"/>
        <v>#N/A</v>
      </c>
      <c r="J28" s="67" t="e">
        <f t="shared" si="8"/>
        <v>#N/A</v>
      </c>
      <c r="K28" s="67" t="e">
        <f t="shared" si="8"/>
        <v>#N/A</v>
      </c>
      <c r="L28" s="67" t="e">
        <f t="shared" si="8"/>
        <v>#N/A</v>
      </c>
      <c r="M28" s="67" t="e">
        <f t="shared" si="8"/>
        <v>#N/A</v>
      </c>
      <c r="N28" s="67" t="e">
        <f t="shared" si="8"/>
        <v>#N/A</v>
      </c>
    </row>
    <row r="29" spans="2:14" ht="16.2" thickTop="1">
      <c r="B29" s="63" t="s">
        <v>212</v>
      </c>
      <c r="C29" s="64"/>
      <c r="D29" s="65">
        <f>IF((D28-$C$28)/$C$28=0,NA(),(D28-$C$28)/$C$28)</f>
        <v>-0.16860465116279069</v>
      </c>
      <c r="E29" s="65">
        <f t="shared" ref="E29:N29" si="9">IF((E28-$C$28)/$C$28=0,NA(),(E28-$C$28)/$C$28)</f>
        <v>-0.15116279069767441</v>
      </c>
      <c r="F29" s="65">
        <f t="shared" si="9"/>
        <v>-0.12984496124031009</v>
      </c>
      <c r="G29" s="65">
        <f t="shared" si="9"/>
        <v>-0.12015503875968993</v>
      </c>
      <c r="H29" s="65" t="e">
        <f t="shared" si="9"/>
        <v>#N/A</v>
      </c>
      <c r="I29" s="65" t="e">
        <f t="shared" si="9"/>
        <v>#N/A</v>
      </c>
      <c r="J29" s="65" t="e">
        <f t="shared" si="9"/>
        <v>#N/A</v>
      </c>
      <c r="K29" s="65" t="e">
        <f t="shared" si="9"/>
        <v>#N/A</v>
      </c>
      <c r="L29" s="65" t="e">
        <f t="shared" si="9"/>
        <v>#N/A</v>
      </c>
      <c r="M29" s="65" t="e">
        <f t="shared" si="9"/>
        <v>#N/A</v>
      </c>
      <c r="N29" s="65" t="e">
        <f t="shared" si="9"/>
        <v>#N/A</v>
      </c>
    </row>
    <row r="30" spans="2:14">
      <c r="B30" s="50"/>
      <c r="D30" s="39"/>
      <c r="E30" s="39"/>
      <c r="F30" s="39"/>
      <c r="H30" s="39"/>
      <c r="I30" s="39"/>
      <c r="J30" s="39"/>
      <c r="K30" s="39"/>
      <c r="L30" s="39"/>
      <c r="M30" s="39"/>
      <c r="N30" s="39"/>
    </row>
    <row r="32" spans="2:14">
      <c r="B32" s="19" t="s">
        <v>153</v>
      </c>
      <c r="C32" s="51">
        <v>2019</v>
      </c>
      <c r="D32" s="51">
        <v>2020</v>
      </c>
      <c r="E32" s="51">
        <v>2021</v>
      </c>
      <c r="F32" s="51">
        <v>2022</v>
      </c>
      <c r="G32" s="51">
        <v>2023</v>
      </c>
      <c r="H32" s="51">
        <v>2024</v>
      </c>
      <c r="I32" s="51">
        <v>2025</v>
      </c>
      <c r="J32" s="51">
        <v>2026</v>
      </c>
      <c r="K32" s="51">
        <v>2027</v>
      </c>
      <c r="L32" s="51">
        <v>2028</v>
      </c>
      <c r="M32" s="51">
        <v>2029</v>
      </c>
      <c r="N32" s="51">
        <v>2030</v>
      </c>
    </row>
    <row r="33" spans="1:14" ht="16.2" thickBot="1">
      <c r="B33" s="58" t="s">
        <v>134</v>
      </c>
      <c r="C33" s="59" cm="1">
        <f t="array" ref="C33">IFERROR(_xlfn.XLOOKUP($B$33,'Brondata CO2'!$B$9:$B$14,_xlfn.XLOOKUP(C$32,'Brondata CO2'!$C$8:$N$8,'Brondata CO2'!$C$9:$N$14))*1000,NA())</f>
        <v>38300.000000000015</v>
      </c>
      <c r="D33" s="59" cm="1">
        <f t="array" ref="D33">IFERROR(_xlfn.XLOOKUP($B$33,'Brondata CO2'!$B$9:$B$14,_xlfn.XLOOKUP(D$32,'Brondata CO2'!$C$8:$N$8,'Brondata CO2'!$C$9:$N$14))*1000,NA())</f>
        <v>35700.000000000015</v>
      </c>
      <c r="E33" s="59" cm="1">
        <f t="array" ref="E33">IFERROR(_xlfn.XLOOKUP($B$33,'Brondata CO2'!$B$9:$B$14,_xlfn.XLOOKUP(E$32,'Brondata CO2'!$C$8:$N$8,'Brondata CO2'!$C$9:$N$14))*1000,NA())</f>
        <v>37300.000000000015</v>
      </c>
      <c r="F33" s="59" cm="1">
        <f t="array" ref="F33">IFERROR(_xlfn.XLOOKUP($B$33,'Brondata CO2'!$B$9:$B$14,_xlfn.XLOOKUP(F$32,'Brondata CO2'!$C$8:$N$8,'Brondata CO2'!$C$9:$N$14))*1000,NA())</f>
        <v>36800.000000000015</v>
      </c>
      <c r="G33" s="59" cm="1">
        <f t="array" ref="G33">IFERROR(_xlfn.XLOOKUP($B$33,'Brondata CO2'!$B$9:$B$14,_xlfn.XLOOKUP(G$32,'Brondata CO2'!$C$8:$N$8,'Brondata CO2'!$C$9:$N$14))*1000,NA())</f>
        <v>33499.999999999985</v>
      </c>
      <c r="H33" s="59" t="e" cm="1">
        <f t="array" ref="H33">IFERROR(_xlfn.XLOOKUP($B$33,'Brondata CO2'!$B$9:$B$14,_xlfn.XLOOKUP(H$32,'Brondata CO2'!$C$8:$N$8,'Brondata CO2'!$C$9:$N$14))*1000,NA())</f>
        <v>#N/A</v>
      </c>
      <c r="I33" s="59" t="e" cm="1">
        <f t="array" ref="I33">IFERROR(_xlfn.XLOOKUP($B$33,'Brondata CO2'!$B$9:$B$14,_xlfn.XLOOKUP(I$32,'Brondata CO2'!$C$8:$N$8,'Brondata CO2'!$C$9:$N$14))*1000,NA())</f>
        <v>#N/A</v>
      </c>
      <c r="J33" s="59" t="e" cm="1">
        <f t="array" ref="J33">IFERROR(_xlfn.XLOOKUP($B$33,'Brondata CO2'!$B$9:$B$14,_xlfn.XLOOKUP(J$32,'Brondata CO2'!$C$8:$N$8,'Brondata CO2'!$C$9:$N$14))*1000,NA())</f>
        <v>#N/A</v>
      </c>
      <c r="K33" s="59" t="e" cm="1">
        <f t="array" ref="K33">IFERROR(_xlfn.XLOOKUP($B$33,'Brondata CO2'!$B$9:$B$14,_xlfn.XLOOKUP(K$32,'Brondata CO2'!$C$8:$N$8,'Brondata CO2'!$C$9:$N$14))*1000,NA())</f>
        <v>#N/A</v>
      </c>
      <c r="L33" s="59" t="e" cm="1">
        <f t="array" ref="L33">IFERROR(_xlfn.XLOOKUP($B$33,'Brondata CO2'!$B$9:$B$14,_xlfn.XLOOKUP(L$32,'Brondata CO2'!$C$8:$N$8,'Brondata CO2'!$C$9:$N$14))*1000,NA())</f>
        <v>#N/A</v>
      </c>
      <c r="M33" s="59" t="e" cm="1">
        <f t="array" ref="M33">IFERROR(_xlfn.XLOOKUP($B$33,'Brondata CO2'!$B$9:$B$14,_xlfn.XLOOKUP(M$32,'Brondata CO2'!$C$8:$N$8,'Brondata CO2'!$C$9:$N$14))*1000,NA())</f>
        <v>#N/A</v>
      </c>
      <c r="N33" s="59" t="e" cm="1">
        <f t="array" ref="N33">IFERROR(_xlfn.XLOOKUP($B$33,'Brondata CO2'!$B$9:$B$14,_xlfn.XLOOKUP(N$32,'Brondata CO2'!$C$8:$N$8,'Brondata CO2'!$C$9:$N$14))*1000,NA())</f>
        <v>#N/A</v>
      </c>
    </row>
    <row r="34" spans="1:14" ht="16.2" thickTop="1">
      <c r="B34" s="56" t="s">
        <v>131</v>
      </c>
      <c r="C34" s="57">
        <f t="shared" ref="C34:N34" si="10">IF(SUM(C33:C33)=0,NA(),SUM(C33:C33))</f>
        <v>38300.000000000015</v>
      </c>
      <c r="D34" s="57">
        <f t="shared" si="10"/>
        <v>35700.000000000015</v>
      </c>
      <c r="E34" s="57">
        <f t="shared" si="10"/>
        <v>37300.000000000015</v>
      </c>
      <c r="F34" s="57">
        <f t="shared" si="10"/>
        <v>36800.000000000015</v>
      </c>
      <c r="G34" s="68">
        <f t="shared" si="10"/>
        <v>33499.999999999985</v>
      </c>
      <c r="H34" s="68" t="e">
        <f t="shared" si="10"/>
        <v>#N/A</v>
      </c>
      <c r="I34" s="68" t="e">
        <f t="shared" si="10"/>
        <v>#N/A</v>
      </c>
      <c r="J34" s="68" t="e">
        <f t="shared" si="10"/>
        <v>#N/A</v>
      </c>
      <c r="K34" s="68" t="e">
        <f t="shared" si="10"/>
        <v>#N/A</v>
      </c>
      <c r="L34" s="68" t="e">
        <f t="shared" si="10"/>
        <v>#N/A</v>
      </c>
      <c r="M34" s="68" t="e">
        <f t="shared" si="10"/>
        <v>#N/A</v>
      </c>
      <c r="N34" s="68" t="e">
        <f t="shared" si="10"/>
        <v>#N/A</v>
      </c>
    </row>
    <row r="35" spans="1:14" ht="17.100000000000001" customHeight="1">
      <c r="B35" s="53" t="s">
        <v>211</v>
      </c>
      <c r="C35" s="54"/>
      <c r="D35" s="55">
        <f>IF((D34-$C$34)/$C$34=0,NA(),(D34-$C$34)/$C$34)</f>
        <v>-6.7885117493472563E-2</v>
      </c>
      <c r="E35" s="55">
        <f t="shared" ref="E35:N35" si="11">IF((E34-$C$34)/$C$34=0,NA(),(E34-$C$34)/$C$34)</f>
        <v>-2.6109660574412524E-2</v>
      </c>
      <c r="F35" s="55">
        <f t="shared" si="11"/>
        <v>-3.9164490861618786E-2</v>
      </c>
      <c r="G35" s="55">
        <f>IF((G34-$C$34)/$C$34=0,NA(),(G34-$C$34)/$C$34)</f>
        <v>-0.12532637075718087</v>
      </c>
      <c r="H35" s="55" t="e">
        <f t="shared" si="11"/>
        <v>#N/A</v>
      </c>
      <c r="I35" s="55" t="e">
        <f t="shared" si="11"/>
        <v>#N/A</v>
      </c>
      <c r="J35" s="55" t="e">
        <f t="shared" si="11"/>
        <v>#N/A</v>
      </c>
      <c r="K35" s="55" t="e">
        <f t="shared" si="11"/>
        <v>#N/A</v>
      </c>
      <c r="L35" s="55" t="e">
        <f t="shared" si="11"/>
        <v>#N/A</v>
      </c>
      <c r="M35" s="55" t="e">
        <f t="shared" si="11"/>
        <v>#N/A</v>
      </c>
      <c r="N35" s="55" t="e">
        <f t="shared" si="11"/>
        <v>#N/A</v>
      </c>
    </row>
    <row r="36" spans="1:14" ht="17.100000000000001" customHeight="1">
      <c r="B36" s="50"/>
      <c r="D36" s="39"/>
      <c r="E36" s="39"/>
      <c r="F36" s="39"/>
      <c r="H36" s="39"/>
      <c r="I36" s="39"/>
      <c r="J36" s="39"/>
      <c r="K36" s="39"/>
      <c r="L36" s="39"/>
      <c r="M36" s="39"/>
      <c r="N36" s="39"/>
    </row>
    <row r="37" spans="1:14" ht="17.100000000000001" customHeight="1">
      <c r="B37" s="50"/>
      <c r="D37" s="39"/>
      <c r="E37" s="39"/>
      <c r="F37" s="39"/>
      <c r="G37" s="39"/>
      <c r="H37" s="39"/>
      <c r="I37" s="39"/>
      <c r="J37" s="39"/>
      <c r="K37" s="39"/>
      <c r="L37" s="39"/>
      <c r="M37" s="39"/>
      <c r="N37" s="39"/>
    </row>
    <row r="38" spans="1:14" ht="17.100000000000001" customHeight="1">
      <c r="B38" s="19" t="s">
        <v>130</v>
      </c>
      <c r="C38" s="45">
        <v>2019</v>
      </c>
      <c r="D38" s="45">
        <v>2020</v>
      </c>
      <c r="E38" s="45">
        <v>2021</v>
      </c>
      <c r="F38" s="45">
        <v>2022</v>
      </c>
      <c r="G38" s="45">
        <v>2023</v>
      </c>
      <c r="H38" s="45">
        <v>2024</v>
      </c>
      <c r="I38" s="45">
        <v>2025</v>
      </c>
      <c r="J38" s="45">
        <v>2026</v>
      </c>
      <c r="K38" s="45">
        <v>2027</v>
      </c>
      <c r="L38" s="45">
        <v>2028</v>
      </c>
      <c r="M38" s="45">
        <v>2029</v>
      </c>
      <c r="N38" s="45">
        <v>2030</v>
      </c>
    </row>
    <row r="39" spans="1:14" ht="17.100000000000001" customHeight="1">
      <c r="B39" s="44" t="s">
        <v>102</v>
      </c>
      <c r="C39" s="48" cm="1">
        <f t="array" ref="C39">IFERROR(_xlfn.XLOOKUP($B$39,'Brondata CO2'!$B$127:$B$130,_xlfn.XLOOKUP(Berekeningen!C$38,'Brondata CO2'!$C$126:$N$126,'Brondata CO2'!$C$127:$N$130))*1000,"")</f>
        <v>200</v>
      </c>
      <c r="D39" s="48" cm="1">
        <f t="array" ref="D39">IFERROR(_xlfn.XLOOKUP($B$39,'Brondata CO2'!$B$127:$B$130,_xlfn.XLOOKUP(Berekeningen!D$38,'Brondata CO2'!$C$126:$N$126,'Brondata CO2'!$C$127:$N$130))*1000,"")</f>
        <v>200</v>
      </c>
      <c r="E39" s="48" cm="1">
        <f t="array" ref="E39">IFERROR(_xlfn.XLOOKUP($B$39,'Brondata CO2'!$B$127:$B$130,_xlfn.XLOOKUP(Berekeningen!E$38,'Brondata CO2'!$C$126:$N$126,'Brondata CO2'!$C$127:$N$130))*1000,"")</f>
        <v>200</v>
      </c>
      <c r="F39" s="48" cm="1">
        <f t="array" ref="F39">IFERROR(_xlfn.XLOOKUP($B$39,'Brondata CO2'!$B$127:$B$130,_xlfn.XLOOKUP(Berekeningen!F$38,'Brondata CO2'!$C$126:$N$126,'Brondata CO2'!$C$127:$N$130))*1000,"")</f>
        <v>200</v>
      </c>
      <c r="G39" s="48" cm="1">
        <f t="array" ref="G39">IFERROR(_xlfn.XLOOKUP($B$39,'Brondata CO2'!$B$127:$B$130,_xlfn.XLOOKUP(Berekeningen!G$38,'Brondata CO2'!$C$126:$N$126,'Brondata CO2'!$C$127:$N$130))*1000,"")</f>
        <v>200</v>
      </c>
      <c r="H39" s="48" t="str" cm="1">
        <f t="array" ref="H39">IFERROR(_xlfn.XLOOKUP($B$39,'Brondata CO2'!$B$127:$B$130,_xlfn.XLOOKUP(Berekeningen!H$38,'Brondata CO2'!$C$126:$N$126,'Brondata CO2'!$C$127:$N$130))*1000,"")</f>
        <v/>
      </c>
      <c r="I39" s="48" t="str" cm="1">
        <f t="array" ref="I39">IFERROR(_xlfn.XLOOKUP($B$39,'Brondata CO2'!$B$127:$B$130,_xlfn.XLOOKUP(Berekeningen!I$38,'Brondata CO2'!$C$126:$N$126,'Brondata CO2'!$C$127:$N$130))*1000,"")</f>
        <v/>
      </c>
      <c r="J39" s="48" t="str" cm="1">
        <f t="array" ref="J39">IFERROR(_xlfn.XLOOKUP($B$39,'Brondata CO2'!$B$127:$B$130,_xlfn.XLOOKUP(Berekeningen!J$38,'Brondata CO2'!$C$126:$N$126,'Brondata CO2'!$C$127:$N$130))*1000,"")</f>
        <v/>
      </c>
      <c r="K39" s="48" t="str" cm="1">
        <f t="array" ref="K39">IFERROR(_xlfn.XLOOKUP($B$39,'Brondata CO2'!$B$127:$B$130,_xlfn.XLOOKUP(Berekeningen!K$38,'Brondata CO2'!$C$126:$N$126,'Brondata CO2'!$C$127:$N$130))*1000,"")</f>
        <v/>
      </c>
      <c r="L39" s="48" t="str" cm="1">
        <f t="array" ref="L39">IFERROR(_xlfn.XLOOKUP($B$39,'Brondata CO2'!$B$127:$B$130,_xlfn.XLOOKUP(Berekeningen!L$38,'Brondata CO2'!$C$126:$N$126,'Brondata CO2'!$C$127:$N$130))*1000,"")</f>
        <v/>
      </c>
      <c r="M39" s="48" t="str" cm="1">
        <f t="array" ref="M39">IFERROR(_xlfn.XLOOKUP($B$39,'Brondata CO2'!$B$127:$B$130,_xlfn.XLOOKUP(Berekeningen!M$38,'Brondata CO2'!$C$126:$N$126,'Brondata CO2'!$C$127:$N$130))*1000,"")</f>
        <v/>
      </c>
      <c r="N39" s="48" t="str" cm="1">
        <f t="array" ref="N39">IFERROR(_xlfn.XLOOKUP($B$39,'Brondata CO2'!$B$127:$B$130,_xlfn.XLOOKUP(Berekeningen!N$38,'Brondata CO2'!$C$126:$N$126,'Brondata CO2'!$C$127:$N$130))*1000,"")</f>
        <v/>
      </c>
    </row>
    <row r="40" spans="1:14" ht="18" customHeight="1"/>
    <row r="41" spans="1:14">
      <c r="B41" s="37"/>
    </row>
    <row r="42" spans="1:14" ht="22.8">
      <c r="B42" s="145" t="s">
        <v>213</v>
      </c>
      <c r="C42" s="145"/>
      <c r="D42" s="145"/>
      <c r="E42" s="145"/>
      <c r="F42" s="145"/>
      <c r="G42" s="145"/>
      <c r="H42" s="145"/>
      <c r="I42" s="145"/>
      <c r="J42" s="145"/>
      <c r="K42" s="145"/>
      <c r="L42" s="145"/>
      <c r="M42" s="145"/>
      <c r="N42" s="145"/>
    </row>
    <row r="43" spans="1:14" ht="22.8">
      <c r="B43" s="73"/>
      <c r="C43" s="73"/>
      <c r="D43" s="73"/>
      <c r="E43" s="73"/>
      <c r="F43" s="73"/>
      <c r="G43" s="73"/>
      <c r="H43" s="73"/>
      <c r="I43" s="73"/>
      <c r="J43" s="73"/>
      <c r="K43" s="73"/>
      <c r="L43" s="73"/>
      <c r="M43" s="73"/>
      <c r="N43" s="73"/>
    </row>
    <row r="44" spans="1:14">
      <c r="A44" s="19"/>
      <c r="B44" s="19" t="s">
        <v>542</v>
      </c>
      <c r="C44" s="74">
        <v>2019</v>
      </c>
      <c r="D44" s="74">
        <v>2020</v>
      </c>
      <c r="E44" s="74">
        <v>2021</v>
      </c>
      <c r="F44" s="74">
        <v>2022</v>
      </c>
      <c r="G44" s="74">
        <v>2023</v>
      </c>
      <c r="H44" s="74">
        <v>2024</v>
      </c>
      <c r="I44" s="74">
        <v>2025</v>
      </c>
      <c r="J44" s="74">
        <v>2026</v>
      </c>
      <c r="K44" s="74">
        <v>2027</v>
      </c>
      <c r="L44" s="74">
        <v>2028</v>
      </c>
      <c r="M44" s="74">
        <v>2029</v>
      </c>
      <c r="N44" s="74">
        <v>2030</v>
      </c>
    </row>
    <row r="45" spans="1:14">
      <c r="B45" s="101" t="s">
        <v>78</v>
      </c>
      <c r="C45" s="75" cm="1">
        <f t="array" ref="C45">IFERROR(_xlfn.XLOOKUP($B45,'Brondata Overige broeikasgassen'!$C$8:$C$15,_xlfn.XLOOKUP(Berekeningen!C$44,'Brondata Overige broeikasgassen'!$D$7:$O$7,'Brondata Overige broeikasgassen'!$D$8:$O$15))*1000,NA())</f>
        <v>500</v>
      </c>
      <c r="D45" s="75" cm="1">
        <f t="array" ref="D45">IFERROR(_xlfn.XLOOKUP($B45,'Brondata Overige broeikasgassen'!$C$8:$C$15,_xlfn.XLOOKUP(Berekeningen!D$44,'Brondata Overige broeikasgassen'!$D$7:$O$7,'Brondata Overige broeikasgassen'!$D$8:$O$15))*1000,NA())</f>
        <v>500</v>
      </c>
      <c r="E45" s="75" cm="1">
        <f t="array" ref="E45">IFERROR(_xlfn.XLOOKUP($B45,'Brondata Overige broeikasgassen'!$C$8:$C$15,_xlfn.XLOOKUP(Berekeningen!E$44,'Brondata Overige broeikasgassen'!$D$7:$O$7,'Brondata Overige broeikasgassen'!$D$8:$O$15))*1000,NA())</f>
        <v>500</v>
      </c>
      <c r="F45" s="75" cm="1">
        <f t="array" ref="F45">IFERROR(_xlfn.XLOOKUP($B45,'Brondata Overige broeikasgassen'!$C$8:$C$15,_xlfn.XLOOKUP(Berekeningen!F$44,'Brondata Overige broeikasgassen'!$D$7:$O$7,'Brondata Overige broeikasgassen'!$D$8:$O$15))*1000,NA())</f>
        <v>500</v>
      </c>
      <c r="G45" s="75" cm="1">
        <f t="array" ref="G45">IFERROR(_xlfn.XLOOKUP($B45,'Brondata Overige broeikasgassen'!$C$8:$C$15,_xlfn.XLOOKUP(Berekeningen!G$44,'Brondata Overige broeikasgassen'!$D$7:$O$7,'Brondata Overige broeikasgassen'!$D$8:$O$15))*1000,NA())</f>
        <v>0</v>
      </c>
      <c r="H45" s="75" t="e" cm="1">
        <f t="array" ref="H45">IFERROR(_xlfn.XLOOKUP($B45,'Brondata Overige broeikasgassen'!$C$8:$C$15,_xlfn.XLOOKUP(Berekeningen!H$44,'Brondata Overige broeikasgassen'!$D$7:$O$7,'Brondata Overige broeikasgassen'!$D$8:$O$15))*1000,NA())</f>
        <v>#N/A</v>
      </c>
      <c r="I45" s="75" t="e" cm="1">
        <f t="array" ref="I45">IFERROR(_xlfn.XLOOKUP($B45,'Brondata Overige broeikasgassen'!$C$8:$C$15,_xlfn.XLOOKUP(Berekeningen!I$44,'Brondata Overige broeikasgassen'!$D$7:$O$7,'Brondata Overige broeikasgassen'!$D$8:$O$15))*1000,NA())</f>
        <v>#N/A</v>
      </c>
      <c r="J45" s="75" t="e" cm="1">
        <f t="array" ref="J45">IFERROR(_xlfn.XLOOKUP($B45,'Brondata Overige broeikasgassen'!$C$8:$C$15,_xlfn.XLOOKUP(Berekeningen!J$44,'Brondata Overige broeikasgassen'!$D$7:$O$7,'Brondata Overige broeikasgassen'!$D$8:$O$15))*1000,NA())</f>
        <v>#N/A</v>
      </c>
      <c r="K45" s="75" t="e" cm="1">
        <f t="array" ref="K45">IFERROR(_xlfn.XLOOKUP($B45,'Brondata Overige broeikasgassen'!$C$8:$C$15,_xlfn.XLOOKUP(Berekeningen!K$44,'Brondata Overige broeikasgassen'!$D$7:$O$7,'Brondata Overige broeikasgassen'!$D$8:$O$15))*1000,NA())</f>
        <v>#N/A</v>
      </c>
      <c r="L45" s="75" t="e" cm="1">
        <f t="array" ref="L45">IFERROR(_xlfn.XLOOKUP($B45,'Brondata Overige broeikasgassen'!$C$8:$C$15,_xlfn.XLOOKUP(Berekeningen!L$44,'Brondata Overige broeikasgassen'!$D$7:$O$7,'Brondata Overige broeikasgassen'!$D$8:$O$15))*1000,NA())</f>
        <v>#N/A</v>
      </c>
      <c r="M45" s="75" t="e" cm="1">
        <f t="array" ref="M45">IFERROR(_xlfn.XLOOKUP($B45,'Brondata Overige broeikasgassen'!$C$8:$C$15,_xlfn.XLOOKUP(Berekeningen!M$44,'Brondata Overige broeikasgassen'!$D$7:$O$7,'Brondata Overige broeikasgassen'!$D$8:$O$15))*1000,NA())</f>
        <v>#N/A</v>
      </c>
      <c r="N45" s="75" t="e" cm="1">
        <f t="array" ref="N45">IFERROR(_xlfn.XLOOKUP($B45,'Brondata Overige broeikasgassen'!$C$8:$C$15,_xlfn.XLOOKUP(Berekeningen!N$44,'Brondata Overige broeikasgassen'!$D$7:$O$7,'Brondata Overige broeikasgassen'!$D$8:$O$15))*1000,NA())</f>
        <v>#N/A</v>
      </c>
    </row>
    <row r="46" spans="1:14">
      <c r="B46" s="101" t="s">
        <v>79</v>
      </c>
      <c r="C46" s="75" cm="1">
        <f t="array" ref="C46">IFERROR(_xlfn.XLOOKUP($B46,'Brondata Overige broeikasgassen'!$C$8:$C$15,_xlfn.XLOOKUP(Berekeningen!C$44,'Brondata Overige broeikasgassen'!$D$7:$O$7,'Brondata Overige broeikasgassen'!$D$8:$O$15))*1000,NA())</f>
        <v>1600</v>
      </c>
      <c r="D46" s="75" cm="1">
        <f t="array" ref="D46">IFERROR(_xlfn.XLOOKUP($B46,'Brondata Overige broeikasgassen'!$C$8:$C$15,_xlfn.XLOOKUP(Berekeningen!D$44,'Brondata Overige broeikasgassen'!$D$7:$O$7,'Brondata Overige broeikasgassen'!$D$8:$O$15))*1000,NA())</f>
        <v>1500</v>
      </c>
      <c r="E46" s="75" cm="1">
        <f t="array" ref="E46">IFERROR(_xlfn.XLOOKUP($B46,'Brondata Overige broeikasgassen'!$C$8:$C$15,_xlfn.XLOOKUP(Berekeningen!E$44,'Brondata Overige broeikasgassen'!$D$7:$O$7,'Brondata Overige broeikasgassen'!$D$8:$O$15))*1000,NA())</f>
        <v>1600</v>
      </c>
      <c r="F46" s="75" cm="1">
        <f t="array" ref="F46">IFERROR(_xlfn.XLOOKUP($B46,'Brondata Overige broeikasgassen'!$C$8:$C$15,_xlfn.XLOOKUP(Berekeningen!F$44,'Brondata Overige broeikasgassen'!$D$7:$O$7,'Brondata Overige broeikasgassen'!$D$8:$O$15))*1000,NA())</f>
        <v>1400</v>
      </c>
      <c r="G46" s="75" cm="1">
        <f t="array" ref="G46">IFERROR(_xlfn.XLOOKUP($B46,'Brondata Overige broeikasgassen'!$C$8:$C$15,_xlfn.XLOOKUP(Berekeningen!G$44,'Brondata Overige broeikasgassen'!$D$7:$O$7,'Brondata Overige broeikasgassen'!$D$8:$O$15))*1000,NA())</f>
        <v>0</v>
      </c>
      <c r="H46" s="75" t="e" cm="1">
        <f t="array" ref="H46">IFERROR(_xlfn.XLOOKUP($B46,'Brondata Overige broeikasgassen'!$C$8:$C$15,_xlfn.XLOOKUP(Berekeningen!H$44,'Brondata Overige broeikasgassen'!$D$7:$O$7,'Brondata Overige broeikasgassen'!$D$8:$O$15))*1000,NA())</f>
        <v>#N/A</v>
      </c>
      <c r="I46" s="75" t="e" cm="1">
        <f t="array" ref="I46">IFERROR(_xlfn.XLOOKUP($B46,'Brondata Overige broeikasgassen'!$C$8:$C$15,_xlfn.XLOOKUP(Berekeningen!I$44,'Brondata Overige broeikasgassen'!$D$7:$O$7,'Brondata Overige broeikasgassen'!$D$8:$O$15))*1000,NA())</f>
        <v>#N/A</v>
      </c>
      <c r="J46" s="75" t="e" cm="1">
        <f t="array" ref="J46">IFERROR(_xlfn.XLOOKUP($B46,'Brondata Overige broeikasgassen'!$C$8:$C$15,_xlfn.XLOOKUP(Berekeningen!J$44,'Brondata Overige broeikasgassen'!$D$7:$O$7,'Brondata Overige broeikasgassen'!$D$8:$O$15))*1000,NA())</f>
        <v>#N/A</v>
      </c>
      <c r="K46" s="75" t="e" cm="1">
        <f t="array" ref="K46">IFERROR(_xlfn.XLOOKUP($B46,'Brondata Overige broeikasgassen'!$C$8:$C$15,_xlfn.XLOOKUP(Berekeningen!K$44,'Brondata Overige broeikasgassen'!$D$7:$O$7,'Brondata Overige broeikasgassen'!$D$8:$O$15))*1000,NA())</f>
        <v>#N/A</v>
      </c>
      <c r="L46" s="75" t="e" cm="1">
        <f t="array" ref="L46">IFERROR(_xlfn.XLOOKUP($B46,'Brondata Overige broeikasgassen'!$C$8:$C$15,_xlfn.XLOOKUP(Berekeningen!L$44,'Brondata Overige broeikasgassen'!$D$7:$O$7,'Brondata Overige broeikasgassen'!$D$8:$O$15))*1000,NA())</f>
        <v>#N/A</v>
      </c>
      <c r="M46" s="75" t="e" cm="1">
        <f t="array" ref="M46">IFERROR(_xlfn.XLOOKUP($B46,'Brondata Overige broeikasgassen'!$C$8:$C$15,_xlfn.XLOOKUP(Berekeningen!M$44,'Brondata Overige broeikasgassen'!$D$7:$O$7,'Brondata Overige broeikasgassen'!$D$8:$O$15))*1000,NA())</f>
        <v>#N/A</v>
      </c>
      <c r="N46" s="75" t="e" cm="1">
        <f t="array" ref="N46">IFERROR(_xlfn.XLOOKUP($B46,'Brondata Overige broeikasgassen'!$C$8:$C$15,_xlfn.XLOOKUP(Berekeningen!N$44,'Brondata Overige broeikasgassen'!$D$7:$O$7,'Brondata Overige broeikasgassen'!$D$8:$O$15))*1000,NA())</f>
        <v>#N/A</v>
      </c>
    </row>
    <row r="47" spans="1:14">
      <c r="B47" s="101" t="s">
        <v>80</v>
      </c>
      <c r="C47" s="75" cm="1">
        <f t="array" ref="C47">IFERROR(_xlfn.XLOOKUP($B47,'Brondata Overige broeikasgassen'!$C$8:$C$15,_xlfn.XLOOKUP(Berekeningen!C$44,'Brondata Overige broeikasgassen'!$D$7:$O$7,'Brondata Overige broeikasgassen'!$D$8:$O$15))*1000,NA())</f>
        <v>10600</v>
      </c>
      <c r="D47" s="75" cm="1">
        <f t="array" ref="D47">IFERROR(_xlfn.XLOOKUP($B47,'Brondata Overige broeikasgassen'!$C$8:$C$15,_xlfn.XLOOKUP(Berekeningen!D$44,'Brondata Overige broeikasgassen'!$D$7:$O$7,'Brondata Overige broeikasgassen'!$D$8:$O$15))*1000,NA())</f>
        <v>10900</v>
      </c>
      <c r="E47" s="75" cm="1">
        <f t="array" ref="E47">IFERROR(_xlfn.XLOOKUP($B47,'Brondata Overige broeikasgassen'!$C$8:$C$15,_xlfn.XLOOKUP(Berekeningen!E$44,'Brondata Overige broeikasgassen'!$D$7:$O$7,'Brondata Overige broeikasgassen'!$D$8:$O$15))*1000,NA())</f>
        <v>11000</v>
      </c>
      <c r="F47" s="75" cm="1">
        <f t="array" ref="F47">IFERROR(_xlfn.XLOOKUP($B47,'Brondata Overige broeikasgassen'!$C$8:$C$15,_xlfn.XLOOKUP(Berekeningen!F$44,'Brondata Overige broeikasgassen'!$D$7:$O$7,'Brondata Overige broeikasgassen'!$D$8:$O$15))*1000,NA())</f>
        <v>10500</v>
      </c>
      <c r="G47" s="75" cm="1">
        <f t="array" ref="G47">IFERROR(_xlfn.XLOOKUP($B47,'Brondata Overige broeikasgassen'!$C$8:$C$15,_xlfn.XLOOKUP(Berekeningen!G$44,'Brondata Overige broeikasgassen'!$D$7:$O$7,'Brondata Overige broeikasgassen'!$D$8:$O$15))*1000,NA())</f>
        <v>0</v>
      </c>
      <c r="H47" s="75" t="e" cm="1">
        <f t="array" ref="H47">IFERROR(_xlfn.XLOOKUP($B47,'Brondata Overige broeikasgassen'!$C$8:$C$15,_xlfn.XLOOKUP(Berekeningen!H$44,'Brondata Overige broeikasgassen'!$D$7:$O$7,'Brondata Overige broeikasgassen'!$D$8:$O$15))*1000,NA())</f>
        <v>#N/A</v>
      </c>
      <c r="I47" s="75" t="e" cm="1">
        <f t="array" ref="I47">IFERROR(_xlfn.XLOOKUP($B47,'Brondata Overige broeikasgassen'!$C$8:$C$15,_xlfn.XLOOKUP(Berekeningen!I$44,'Brondata Overige broeikasgassen'!$D$7:$O$7,'Brondata Overige broeikasgassen'!$D$8:$O$15))*1000,NA())</f>
        <v>#N/A</v>
      </c>
      <c r="J47" s="75" t="e" cm="1">
        <f t="array" ref="J47">IFERROR(_xlfn.XLOOKUP($B47,'Brondata Overige broeikasgassen'!$C$8:$C$15,_xlfn.XLOOKUP(Berekeningen!J$44,'Brondata Overige broeikasgassen'!$D$7:$O$7,'Brondata Overige broeikasgassen'!$D$8:$O$15))*1000,NA())</f>
        <v>#N/A</v>
      </c>
      <c r="K47" s="75" t="e" cm="1">
        <f t="array" ref="K47">IFERROR(_xlfn.XLOOKUP($B47,'Brondata Overige broeikasgassen'!$C$8:$C$15,_xlfn.XLOOKUP(Berekeningen!K$44,'Brondata Overige broeikasgassen'!$D$7:$O$7,'Brondata Overige broeikasgassen'!$D$8:$O$15))*1000,NA())</f>
        <v>#N/A</v>
      </c>
      <c r="L47" s="75" t="e" cm="1">
        <f t="array" ref="L47">IFERROR(_xlfn.XLOOKUP($B47,'Brondata Overige broeikasgassen'!$C$8:$C$15,_xlfn.XLOOKUP(Berekeningen!L$44,'Brondata Overige broeikasgassen'!$D$7:$O$7,'Brondata Overige broeikasgassen'!$D$8:$O$15))*1000,NA())</f>
        <v>#N/A</v>
      </c>
      <c r="M47" s="75" t="e" cm="1">
        <f t="array" ref="M47">IFERROR(_xlfn.XLOOKUP($B47,'Brondata Overige broeikasgassen'!$C$8:$C$15,_xlfn.XLOOKUP(Berekeningen!M$44,'Brondata Overige broeikasgassen'!$D$7:$O$7,'Brondata Overige broeikasgassen'!$D$8:$O$15))*1000,NA())</f>
        <v>#N/A</v>
      </c>
      <c r="N47" s="75" t="e" cm="1">
        <f t="array" ref="N47">IFERROR(_xlfn.XLOOKUP($B47,'Brondata Overige broeikasgassen'!$C$8:$C$15,_xlfn.XLOOKUP(Berekeningen!N$44,'Brondata Overige broeikasgassen'!$D$7:$O$7,'Brondata Overige broeikasgassen'!$D$8:$O$15))*1000,NA())</f>
        <v>#N/A</v>
      </c>
    </row>
    <row r="48" spans="1:14">
      <c r="B48" s="101" t="s">
        <v>81</v>
      </c>
      <c r="C48" s="75" cm="1">
        <f t="array" ref="C48">IFERROR(_xlfn.XLOOKUP($B48,'Brondata Overige broeikasgassen'!$C$8:$C$15,_xlfn.XLOOKUP(Berekeningen!C$44,'Brondata Overige broeikasgassen'!$D$7:$O$7,'Brondata Overige broeikasgassen'!$D$8:$O$15))*1000,NA())</f>
        <v>1500</v>
      </c>
      <c r="D48" s="75" cm="1">
        <f t="array" ref="D48">IFERROR(_xlfn.XLOOKUP($B48,'Brondata Overige broeikasgassen'!$C$8:$C$15,_xlfn.XLOOKUP(Berekeningen!D$44,'Brondata Overige broeikasgassen'!$D$7:$O$7,'Brondata Overige broeikasgassen'!$D$8:$O$15))*1000,NA())</f>
        <v>1400</v>
      </c>
      <c r="E48" s="75" cm="1">
        <f t="array" ref="E48">IFERROR(_xlfn.XLOOKUP($B48,'Brondata Overige broeikasgassen'!$C$8:$C$15,_xlfn.XLOOKUP(Berekeningen!E$44,'Brondata Overige broeikasgassen'!$D$7:$O$7,'Brondata Overige broeikasgassen'!$D$8:$O$15))*1000,NA())</f>
        <v>1400</v>
      </c>
      <c r="F48" s="75" cm="1">
        <f t="array" ref="F48">IFERROR(_xlfn.XLOOKUP($B48,'Brondata Overige broeikasgassen'!$C$8:$C$15,_xlfn.XLOOKUP(Berekeningen!F$44,'Brondata Overige broeikasgassen'!$D$7:$O$7,'Brondata Overige broeikasgassen'!$D$8:$O$15))*1000,NA())</f>
        <v>1400</v>
      </c>
      <c r="G48" s="75" cm="1">
        <f t="array" ref="G48">IFERROR(_xlfn.XLOOKUP($B48,'Brondata Overige broeikasgassen'!$C$8:$C$15,_xlfn.XLOOKUP(Berekeningen!G$44,'Brondata Overige broeikasgassen'!$D$7:$O$7,'Brondata Overige broeikasgassen'!$D$8:$O$15))*1000,NA())</f>
        <v>0</v>
      </c>
      <c r="H48" s="75" t="e" cm="1">
        <f t="array" ref="H48">IFERROR(_xlfn.XLOOKUP($B48,'Brondata Overige broeikasgassen'!$C$8:$C$15,_xlfn.XLOOKUP(Berekeningen!H$44,'Brondata Overige broeikasgassen'!$D$7:$O$7,'Brondata Overige broeikasgassen'!$D$8:$O$15))*1000,NA())</f>
        <v>#N/A</v>
      </c>
      <c r="I48" s="75" t="e" cm="1">
        <f t="array" ref="I48">IFERROR(_xlfn.XLOOKUP($B48,'Brondata Overige broeikasgassen'!$C$8:$C$15,_xlfn.XLOOKUP(Berekeningen!I$44,'Brondata Overige broeikasgassen'!$D$7:$O$7,'Brondata Overige broeikasgassen'!$D$8:$O$15))*1000,NA())</f>
        <v>#N/A</v>
      </c>
      <c r="J48" s="75" t="e" cm="1">
        <f t="array" ref="J48">IFERROR(_xlfn.XLOOKUP($B48,'Brondata Overige broeikasgassen'!$C$8:$C$15,_xlfn.XLOOKUP(Berekeningen!J$44,'Brondata Overige broeikasgassen'!$D$7:$O$7,'Brondata Overige broeikasgassen'!$D$8:$O$15))*1000,NA())</f>
        <v>#N/A</v>
      </c>
      <c r="K48" s="75" t="e" cm="1">
        <f t="array" ref="K48">IFERROR(_xlfn.XLOOKUP($B48,'Brondata Overige broeikasgassen'!$C$8:$C$15,_xlfn.XLOOKUP(Berekeningen!K$44,'Brondata Overige broeikasgassen'!$D$7:$O$7,'Brondata Overige broeikasgassen'!$D$8:$O$15))*1000,NA())</f>
        <v>#N/A</v>
      </c>
      <c r="L48" s="75" t="e" cm="1">
        <f t="array" ref="L48">IFERROR(_xlfn.XLOOKUP($B48,'Brondata Overige broeikasgassen'!$C$8:$C$15,_xlfn.XLOOKUP(Berekeningen!L$44,'Brondata Overige broeikasgassen'!$D$7:$O$7,'Brondata Overige broeikasgassen'!$D$8:$O$15))*1000,NA())</f>
        <v>#N/A</v>
      </c>
      <c r="M48" s="75" t="e" cm="1">
        <f t="array" ref="M48">IFERROR(_xlfn.XLOOKUP($B48,'Brondata Overige broeikasgassen'!$C$8:$C$15,_xlfn.XLOOKUP(Berekeningen!M$44,'Brondata Overige broeikasgassen'!$D$7:$O$7,'Brondata Overige broeikasgassen'!$D$8:$O$15))*1000,NA())</f>
        <v>#N/A</v>
      </c>
      <c r="N48" s="75" t="e" cm="1">
        <f t="array" ref="N48">IFERROR(_xlfn.XLOOKUP($B48,'Brondata Overige broeikasgassen'!$C$8:$C$15,_xlfn.XLOOKUP(Berekeningen!N$44,'Brondata Overige broeikasgassen'!$D$7:$O$7,'Brondata Overige broeikasgassen'!$D$8:$O$15))*1000,NA())</f>
        <v>#N/A</v>
      </c>
    </row>
    <row r="49" spans="1:18">
      <c r="B49" s="101" t="s">
        <v>82</v>
      </c>
      <c r="C49" s="75" cm="1">
        <f t="array" ref="C49">IFERROR(_xlfn.XLOOKUP($B49,'Brondata Overige broeikasgassen'!$C$8:$C$15,_xlfn.XLOOKUP(Berekeningen!C$44,'Brondata Overige broeikasgassen'!$D$7:$O$7,'Brondata Overige broeikasgassen'!$D$8:$O$15))*1000,NA())</f>
        <v>900</v>
      </c>
      <c r="D49" s="75" cm="1">
        <f t="array" ref="D49">IFERROR(_xlfn.XLOOKUP($B49,'Brondata Overige broeikasgassen'!$C$8:$C$15,_xlfn.XLOOKUP(Berekeningen!D$44,'Brondata Overige broeikasgassen'!$D$7:$O$7,'Brondata Overige broeikasgassen'!$D$8:$O$15))*1000,NA())</f>
        <v>1000</v>
      </c>
      <c r="E49" s="75" cm="1">
        <f t="array" ref="E49">IFERROR(_xlfn.XLOOKUP($B49,'Brondata Overige broeikasgassen'!$C$8:$C$15,_xlfn.XLOOKUP(Berekeningen!E$44,'Brondata Overige broeikasgassen'!$D$7:$O$7,'Brondata Overige broeikasgassen'!$D$8:$O$15))*1000,NA())</f>
        <v>1100</v>
      </c>
      <c r="F49" s="75" cm="1">
        <f t="array" ref="F49">IFERROR(_xlfn.XLOOKUP($B49,'Brondata Overige broeikasgassen'!$C$8:$C$15,_xlfn.XLOOKUP(Berekeningen!F$44,'Brondata Overige broeikasgassen'!$D$7:$O$7,'Brondata Overige broeikasgassen'!$D$8:$O$15))*1000,NA())</f>
        <v>1400</v>
      </c>
      <c r="G49" s="75" cm="1">
        <f t="array" ref="G49">IFERROR(_xlfn.XLOOKUP($B49,'Brondata Overige broeikasgassen'!$C$8:$C$15,_xlfn.XLOOKUP(Berekeningen!G$44,'Brondata Overige broeikasgassen'!$D$7:$O$7,'Brondata Overige broeikasgassen'!$D$8:$O$15))*1000,NA())</f>
        <v>0</v>
      </c>
      <c r="H49" s="75" t="e" cm="1">
        <f t="array" ref="H49">IFERROR(_xlfn.XLOOKUP($B49,'Brondata Overige broeikasgassen'!$C$8:$C$15,_xlfn.XLOOKUP(Berekeningen!H$44,'Brondata Overige broeikasgassen'!$D$7:$O$7,'Brondata Overige broeikasgassen'!$D$8:$O$15))*1000,NA())</f>
        <v>#N/A</v>
      </c>
      <c r="I49" s="75" t="e" cm="1">
        <f t="array" ref="I49">IFERROR(_xlfn.XLOOKUP($B49,'Brondata Overige broeikasgassen'!$C$8:$C$15,_xlfn.XLOOKUP(Berekeningen!I$44,'Brondata Overige broeikasgassen'!$D$7:$O$7,'Brondata Overige broeikasgassen'!$D$8:$O$15))*1000,NA())</f>
        <v>#N/A</v>
      </c>
      <c r="J49" s="75" t="e" cm="1">
        <f t="array" ref="J49">IFERROR(_xlfn.XLOOKUP($B49,'Brondata Overige broeikasgassen'!$C$8:$C$15,_xlfn.XLOOKUP(Berekeningen!J$44,'Brondata Overige broeikasgassen'!$D$7:$O$7,'Brondata Overige broeikasgassen'!$D$8:$O$15))*1000,NA())</f>
        <v>#N/A</v>
      </c>
      <c r="K49" s="75" t="e" cm="1">
        <f t="array" ref="K49">IFERROR(_xlfn.XLOOKUP($B49,'Brondata Overige broeikasgassen'!$C$8:$C$15,_xlfn.XLOOKUP(Berekeningen!K$44,'Brondata Overige broeikasgassen'!$D$7:$O$7,'Brondata Overige broeikasgassen'!$D$8:$O$15))*1000,NA())</f>
        <v>#N/A</v>
      </c>
      <c r="L49" s="75" t="e" cm="1">
        <f t="array" ref="L49">IFERROR(_xlfn.XLOOKUP($B49,'Brondata Overige broeikasgassen'!$C$8:$C$15,_xlfn.XLOOKUP(Berekeningen!L$44,'Brondata Overige broeikasgassen'!$D$7:$O$7,'Brondata Overige broeikasgassen'!$D$8:$O$15))*1000,NA())</f>
        <v>#N/A</v>
      </c>
      <c r="M49" s="75" t="e" cm="1">
        <f t="array" ref="M49">IFERROR(_xlfn.XLOOKUP($B49,'Brondata Overige broeikasgassen'!$C$8:$C$15,_xlfn.XLOOKUP(Berekeningen!M$44,'Brondata Overige broeikasgassen'!$D$7:$O$7,'Brondata Overige broeikasgassen'!$D$8:$O$15))*1000,NA())</f>
        <v>#N/A</v>
      </c>
      <c r="N49" s="75" t="e" cm="1">
        <f t="array" ref="N49">IFERROR(_xlfn.XLOOKUP($B49,'Brondata Overige broeikasgassen'!$C$8:$C$15,_xlfn.XLOOKUP(Berekeningen!N$44,'Brondata Overige broeikasgassen'!$D$7:$O$7,'Brondata Overige broeikasgassen'!$D$8:$O$15))*1000,NA())</f>
        <v>#N/A</v>
      </c>
    </row>
    <row r="50" spans="1:18">
      <c r="B50" s="101" t="s">
        <v>83</v>
      </c>
      <c r="C50" s="75" cm="1">
        <f t="array" ref="C50">IFERROR(_xlfn.XLOOKUP($B50,'Brondata Overige broeikasgassen'!$C$8:$C$15,_xlfn.XLOOKUP(Berekeningen!C$44,'Brondata Overige broeikasgassen'!$D$7:$O$7,'Brondata Overige broeikasgassen'!$D$8:$O$15))*1000,NA())</f>
        <v>300</v>
      </c>
      <c r="D50" s="75" cm="1">
        <f t="array" ref="D50">IFERROR(_xlfn.XLOOKUP($B50,'Brondata Overige broeikasgassen'!$C$8:$C$15,_xlfn.XLOOKUP(Berekeningen!D$44,'Brondata Overige broeikasgassen'!$D$7:$O$7,'Brondata Overige broeikasgassen'!$D$8:$O$15))*1000,NA())</f>
        <v>300</v>
      </c>
      <c r="E50" s="75" cm="1">
        <f t="array" ref="E50">IFERROR(_xlfn.XLOOKUP($B50,'Brondata Overige broeikasgassen'!$C$8:$C$15,_xlfn.XLOOKUP(Berekeningen!E$44,'Brondata Overige broeikasgassen'!$D$7:$O$7,'Brondata Overige broeikasgassen'!$D$8:$O$15))*1000,NA())</f>
        <v>400</v>
      </c>
      <c r="F50" s="75" cm="1">
        <f t="array" ref="F50">IFERROR(_xlfn.XLOOKUP($B50,'Brondata Overige broeikasgassen'!$C$8:$C$15,_xlfn.XLOOKUP(Berekeningen!F$44,'Brondata Overige broeikasgassen'!$D$7:$O$7,'Brondata Overige broeikasgassen'!$D$8:$O$15))*1000,NA())</f>
        <v>400</v>
      </c>
      <c r="G50" s="75" cm="1">
        <f t="array" ref="G50">IFERROR(_xlfn.XLOOKUP($B50,'Brondata Overige broeikasgassen'!$C$8:$C$15,_xlfn.XLOOKUP(Berekeningen!G$44,'Brondata Overige broeikasgassen'!$D$7:$O$7,'Brondata Overige broeikasgassen'!$D$8:$O$15))*1000,NA())</f>
        <v>0</v>
      </c>
      <c r="H50" s="75" t="e" cm="1">
        <f t="array" ref="H50">IFERROR(_xlfn.XLOOKUP($B50,'Brondata Overige broeikasgassen'!$C$8:$C$15,_xlfn.XLOOKUP(Berekeningen!H$44,'Brondata Overige broeikasgassen'!$D$7:$O$7,'Brondata Overige broeikasgassen'!$D$8:$O$15))*1000,NA())</f>
        <v>#N/A</v>
      </c>
      <c r="I50" s="75" t="e" cm="1">
        <f t="array" ref="I50">IFERROR(_xlfn.XLOOKUP($B50,'Brondata Overige broeikasgassen'!$C$8:$C$15,_xlfn.XLOOKUP(Berekeningen!I$44,'Brondata Overige broeikasgassen'!$D$7:$O$7,'Brondata Overige broeikasgassen'!$D$8:$O$15))*1000,NA())</f>
        <v>#N/A</v>
      </c>
      <c r="J50" s="75" t="e" cm="1">
        <f t="array" ref="J50">IFERROR(_xlfn.XLOOKUP($B50,'Brondata Overige broeikasgassen'!$C$8:$C$15,_xlfn.XLOOKUP(Berekeningen!J$44,'Brondata Overige broeikasgassen'!$D$7:$O$7,'Brondata Overige broeikasgassen'!$D$8:$O$15))*1000,NA())</f>
        <v>#N/A</v>
      </c>
      <c r="K50" s="75" t="e" cm="1">
        <f t="array" ref="K50">IFERROR(_xlfn.XLOOKUP($B50,'Brondata Overige broeikasgassen'!$C$8:$C$15,_xlfn.XLOOKUP(Berekeningen!K$44,'Brondata Overige broeikasgassen'!$D$7:$O$7,'Brondata Overige broeikasgassen'!$D$8:$O$15))*1000,NA())</f>
        <v>#N/A</v>
      </c>
      <c r="L50" s="75" t="e" cm="1">
        <f t="array" ref="L50">IFERROR(_xlfn.XLOOKUP($B50,'Brondata Overige broeikasgassen'!$C$8:$C$15,_xlfn.XLOOKUP(Berekeningen!L$44,'Brondata Overige broeikasgassen'!$D$7:$O$7,'Brondata Overige broeikasgassen'!$D$8:$O$15))*1000,NA())</f>
        <v>#N/A</v>
      </c>
      <c r="M50" s="75" t="e" cm="1">
        <f t="array" ref="M50">IFERROR(_xlfn.XLOOKUP($B50,'Brondata Overige broeikasgassen'!$C$8:$C$15,_xlfn.XLOOKUP(Berekeningen!M$44,'Brondata Overige broeikasgassen'!$D$7:$O$7,'Brondata Overige broeikasgassen'!$D$8:$O$15))*1000,NA())</f>
        <v>#N/A</v>
      </c>
      <c r="N50" s="75" t="e" cm="1">
        <f t="array" ref="N50">IFERROR(_xlfn.XLOOKUP($B50,'Brondata Overige broeikasgassen'!$C$8:$C$15,_xlfn.XLOOKUP(Berekeningen!N$44,'Brondata Overige broeikasgassen'!$D$7:$O$7,'Brondata Overige broeikasgassen'!$D$8:$O$15))*1000,NA())</f>
        <v>#N/A</v>
      </c>
    </row>
    <row r="51" spans="1:18" ht="16.2" thickBot="1">
      <c r="B51" s="102" t="s">
        <v>109</v>
      </c>
      <c r="C51" s="92" cm="1">
        <f t="array" ref="C51">IFERROR(_xlfn.XLOOKUP($B51,'Brondata Overige broeikasgassen'!$C$8:$C$15,_xlfn.XLOOKUP(Berekeningen!C$44,'Brondata Overige broeikasgassen'!$D$7:$O$7,'Brondata Overige broeikasgassen'!$D$8:$O$15))*1000,NA())</f>
        <v>0</v>
      </c>
      <c r="D51" s="92" cm="1">
        <f t="array" ref="D51">IFERROR(_xlfn.XLOOKUP($B51,'Brondata Overige broeikasgassen'!$C$8:$C$15,_xlfn.XLOOKUP(Berekeningen!D$44,'Brondata Overige broeikasgassen'!$D$7:$O$7,'Brondata Overige broeikasgassen'!$D$8:$O$15))*1000,NA())</f>
        <v>0</v>
      </c>
      <c r="E51" s="92" cm="1">
        <f t="array" ref="E51">IFERROR(_xlfn.XLOOKUP($B51,'Brondata Overige broeikasgassen'!$C$8:$C$15,_xlfn.XLOOKUP(Berekeningen!E$44,'Brondata Overige broeikasgassen'!$D$7:$O$7,'Brondata Overige broeikasgassen'!$D$8:$O$15))*1000,NA())</f>
        <v>0</v>
      </c>
      <c r="F51" s="92" cm="1">
        <f t="array" ref="F51">IFERROR(_xlfn.XLOOKUP($B51,'Brondata Overige broeikasgassen'!$C$8:$C$15,_xlfn.XLOOKUP(Berekeningen!F$44,'Brondata Overige broeikasgassen'!$D$7:$O$7,'Brondata Overige broeikasgassen'!$D$8:$O$15))*1000,NA())</f>
        <v>0</v>
      </c>
      <c r="G51" s="92" cm="1">
        <f t="array" ref="G51">IFERROR(_xlfn.XLOOKUP($B51,'Brondata Overige broeikasgassen'!$C$8:$C$15,_xlfn.XLOOKUP(Berekeningen!G$44,'Brondata Overige broeikasgassen'!$D$7:$O$7,'Brondata Overige broeikasgassen'!$D$8:$O$15))*1000,NA())</f>
        <v>0</v>
      </c>
      <c r="H51" s="92" t="e" cm="1">
        <f t="array" ref="H51">IFERROR(_xlfn.XLOOKUP($B51,'Brondata Overige broeikasgassen'!$C$8:$C$15,_xlfn.XLOOKUP(Berekeningen!H$44,'Brondata Overige broeikasgassen'!$D$7:$O$7,'Brondata Overige broeikasgassen'!$D$8:$O$15))*1000,NA())</f>
        <v>#N/A</v>
      </c>
      <c r="I51" s="92" t="e" cm="1">
        <f t="array" ref="I51">IFERROR(_xlfn.XLOOKUP($B51,'Brondata Overige broeikasgassen'!$C$8:$C$15,_xlfn.XLOOKUP(Berekeningen!I$44,'Brondata Overige broeikasgassen'!$D$7:$O$7,'Brondata Overige broeikasgassen'!$D$8:$O$15))*1000,NA())</f>
        <v>#N/A</v>
      </c>
      <c r="J51" s="92" t="e" cm="1">
        <f t="array" ref="J51">IFERROR(_xlfn.XLOOKUP($B51,'Brondata Overige broeikasgassen'!$C$8:$C$15,_xlfn.XLOOKUP(Berekeningen!J$44,'Brondata Overige broeikasgassen'!$D$7:$O$7,'Brondata Overige broeikasgassen'!$D$8:$O$15))*1000,NA())</f>
        <v>#N/A</v>
      </c>
      <c r="K51" s="92" t="e" cm="1">
        <f t="array" ref="K51">IFERROR(_xlfn.XLOOKUP($B51,'Brondata Overige broeikasgassen'!$C$8:$C$15,_xlfn.XLOOKUP(Berekeningen!K$44,'Brondata Overige broeikasgassen'!$D$7:$O$7,'Brondata Overige broeikasgassen'!$D$8:$O$15))*1000,NA())</f>
        <v>#N/A</v>
      </c>
      <c r="L51" s="92" t="e" cm="1">
        <f t="array" ref="L51">IFERROR(_xlfn.XLOOKUP($B51,'Brondata Overige broeikasgassen'!$C$8:$C$15,_xlfn.XLOOKUP(Berekeningen!L$44,'Brondata Overige broeikasgassen'!$D$7:$O$7,'Brondata Overige broeikasgassen'!$D$8:$O$15))*1000,NA())</f>
        <v>#N/A</v>
      </c>
      <c r="M51" s="92" t="e" cm="1">
        <f t="array" ref="M51">IFERROR(_xlfn.XLOOKUP($B51,'Brondata Overige broeikasgassen'!$C$8:$C$15,_xlfn.XLOOKUP(Berekeningen!M$44,'Brondata Overige broeikasgassen'!$D$7:$O$7,'Brondata Overige broeikasgassen'!$D$8:$O$15))*1000,NA())</f>
        <v>#N/A</v>
      </c>
      <c r="N51" s="92" t="e" cm="1">
        <f t="array" ref="N51">IFERROR(_xlfn.XLOOKUP($B51,'Brondata Overige broeikasgassen'!$C$8:$C$15,_xlfn.XLOOKUP(Berekeningen!N$44,'Brondata Overige broeikasgassen'!$D$7:$O$7,'Brondata Overige broeikasgassen'!$D$8:$O$15))*1000,NA())</f>
        <v>#N/A</v>
      </c>
    </row>
    <row r="52" spans="1:18" ht="16.2" thickTop="1">
      <c r="B52" s="103" t="s">
        <v>108</v>
      </c>
      <c r="C52" s="104" cm="1">
        <f t="array" ref="C52">IFERROR(_xlfn.XLOOKUP($B52,'Brondata Overige broeikasgassen'!$C$8:$C$15,_xlfn.XLOOKUP(Berekeningen!C$44,'Brondata Overige broeikasgassen'!$D$7:$O$7,'Brondata Overige broeikasgassen'!$D$8:$O$15))*1000,NA())</f>
        <v>16000</v>
      </c>
      <c r="D52" s="104" cm="1">
        <f t="array" ref="D52">IFERROR(_xlfn.XLOOKUP($B52,'Brondata Overige broeikasgassen'!$C$8:$C$15,_xlfn.XLOOKUP(Berekeningen!D$44,'Brondata Overige broeikasgassen'!$D$7:$O$7,'Brondata Overige broeikasgassen'!$D$8:$O$15))*1000,NA())</f>
        <v>16000</v>
      </c>
      <c r="E52" s="104" cm="1">
        <f t="array" ref="E52">IFERROR(_xlfn.XLOOKUP($B52,'Brondata Overige broeikasgassen'!$C$8:$C$15,_xlfn.XLOOKUP(Berekeningen!E$44,'Brondata Overige broeikasgassen'!$D$7:$O$7,'Brondata Overige broeikasgassen'!$D$8:$O$15))*1000,NA())</f>
        <v>16000</v>
      </c>
      <c r="F52" s="104" cm="1">
        <f t="array" ref="F52">IFERROR(_xlfn.XLOOKUP($B52,'Brondata Overige broeikasgassen'!$C$8:$C$15,_xlfn.XLOOKUP(Berekeningen!F$44,'Brondata Overige broeikasgassen'!$D$7:$O$7,'Brondata Overige broeikasgassen'!$D$8:$O$15))*1000,NA())</f>
        <v>16000</v>
      </c>
      <c r="G52" s="104" cm="1">
        <f t="array" ref="G52">IFERROR(_xlfn.XLOOKUP($B52,'Brondata Overige broeikasgassen'!$C$8:$C$15,_xlfn.XLOOKUP(Berekeningen!G$44,'Brondata Overige broeikasgassen'!$D$7:$O$7,'Brondata Overige broeikasgassen'!$D$8:$O$15))*1000,NA())</f>
        <v>0</v>
      </c>
      <c r="H52" s="104" t="e" cm="1">
        <f t="array" ref="H52">IFERROR(_xlfn.XLOOKUP($B52,'Brondata Overige broeikasgassen'!$C$8:$C$15,_xlfn.XLOOKUP(Berekeningen!H$44,'Brondata Overige broeikasgassen'!$D$7:$O$7,'Brondata Overige broeikasgassen'!$D$8:$O$15))*1000,NA())</f>
        <v>#N/A</v>
      </c>
      <c r="I52" s="104" t="e" cm="1">
        <f t="array" ref="I52">IFERROR(_xlfn.XLOOKUP($B52,'Brondata Overige broeikasgassen'!$C$8:$C$15,_xlfn.XLOOKUP(Berekeningen!I$44,'Brondata Overige broeikasgassen'!$D$7:$O$7,'Brondata Overige broeikasgassen'!$D$8:$O$15))*1000,NA())</f>
        <v>#N/A</v>
      </c>
      <c r="J52" s="104" t="e" cm="1">
        <f t="array" ref="J52">IFERROR(_xlfn.XLOOKUP($B52,'Brondata Overige broeikasgassen'!$C$8:$C$15,_xlfn.XLOOKUP(Berekeningen!J$44,'Brondata Overige broeikasgassen'!$D$7:$O$7,'Brondata Overige broeikasgassen'!$D$8:$O$15))*1000,NA())</f>
        <v>#N/A</v>
      </c>
      <c r="K52" s="104" t="e" cm="1">
        <f t="array" ref="K52">IFERROR(_xlfn.XLOOKUP($B52,'Brondata Overige broeikasgassen'!$C$8:$C$15,_xlfn.XLOOKUP(Berekeningen!K$44,'Brondata Overige broeikasgassen'!$D$7:$O$7,'Brondata Overige broeikasgassen'!$D$8:$O$15))*1000,NA())</f>
        <v>#N/A</v>
      </c>
      <c r="L52" s="104" t="e" cm="1">
        <f t="array" ref="L52">IFERROR(_xlfn.XLOOKUP($B52,'Brondata Overige broeikasgassen'!$C$8:$C$15,_xlfn.XLOOKUP(Berekeningen!L$44,'Brondata Overige broeikasgassen'!$D$7:$O$7,'Brondata Overige broeikasgassen'!$D$8:$O$15))*1000,NA())</f>
        <v>#N/A</v>
      </c>
      <c r="M52" s="104" t="e" cm="1">
        <f t="array" ref="M52">IFERROR(_xlfn.XLOOKUP($B52,'Brondata Overige broeikasgassen'!$C$8:$C$15,_xlfn.XLOOKUP(Berekeningen!M$44,'Brondata Overige broeikasgassen'!$D$7:$O$7,'Brondata Overige broeikasgassen'!$D$8:$O$15))*1000,NA())</f>
        <v>#N/A</v>
      </c>
      <c r="N52" s="104" t="e" cm="1">
        <f t="array" ref="N52">IFERROR(_xlfn.XLOOKUP($B52,'Brondata Overige broeikasgassen'!$C$8:$C$15,_xlfn.XLOOKUP(Berekeningen!N$44,'Brondata Overige broeikasgassen'!$D$7:$O$7,'Brondata Overige broeikasgassen'!$D$8:$O$15))*1000,NA())</f>
        <v>#N/A</v>
      </c>
    </row>
    <row r="53" spans="1:18">
      <c r="B53" s="105" t="s">
        <v>543</v>
      </c>
      <c r="C53" s="106">
        <f t="shared" ref="C53:N53" si="12">IF(C52+C9=0,NA(),(C52/(C52+C9)))</f>
        <v>7.7257363592467404E-2</v>
      </c>
      <c r="D53" s="106">
        <f t="shared" si="12"/>
        <v>8.7098530212302669E-2</v>
      </c>
      <c r="E53" s="106">
        <f t="shared" si="12"/>
        <v>8.5975282106394407E-2</v>
      </c>
      <c r="F53" s="106">
        <f t="shared" si="12"/>
        <v>9.0857467348097673E-2</v>
      </c>
      <c r="G53" s="106">
        <f t="shared" si="12"/>
        <v>0</v>
      </c>
      <c r="H53" s="106" t="e">
        <f t="shared" si="12"/>
        <v>#N/A</v>
      </c>
      <c r="I53" s="106" t="e">
        <f t="shared" si="12"/>
        <v>#N/A</v>
      </c>
      <c r="J53" s="106" t="e">
        <f t="shared" si="12"/>
        <v>#N/A</v>
      </c>
      <c r="K53" s="106" t="e">
        <f t="shared" si="12"/>
        <v>#N/A</v>
      </c>
      <c r="L53" s="106" t="e">
        <f t="shared" si="12"/>
        <v>#N/A</v>
      </c>
      <c r="M53" s="106" t="e">
        <f t="shared" si="12"/>
        <v>#N/A</v>
      </c>
      <c r="N53" s="106" t="e">
        <f t="shared" si="12"/>
        <v>#N/A</v>
      </c>
    </row>
    <row r="54" spans="1:18">
      <c r="A54" s="19"/>
      <c r="B54" t="s">
        <v>214</v>
      </c>
    </row>
    <row r="56" spans="1:18" ht="23.4">
      <c r="B56" s="258" t="s">
        <v>160</v>
      </c>
      <c r="C56" s="258"/>
      <c r="D56" s="258"/>
      <c r="E56" s="258"/>
      <c r="F56" s="258"/>
      <c r="G56" s="258"/>
      <c r="H56" s="258"/>
      <c r="I56" s="258"/>
      <c r="J56" s="258"/>
      <c r="K56" s="258"/>
      <c r="L56" s="258"/>
      <c r="M56" s="258"/>
      <c r="N56" s="258"/>
    </row>
    <row r="58" spans="1:18">
      <c r="B58" s="19" t="s">
        <v>119</v>
      </c>
      <c r="C58" s="24">
        <v>2019</v>
      </c>
      <c r="D58" s="24">
        <v>2020</v>
      </c>
      <c r="E58" s="24">
        <v>2021</v>
      </c>
      <c r="F58" s="24">
        <v>2022</v>
      </c>
      <c r="G58" s="24">
        <v>2023</v>
      </c>
      <c r="H58" s="24">
        <v>2024</v>
      </c>
      <c r="I58" s="24">
        <v>2025</v>
      </c>
      <c r="J58" s="24">
        <v>2026</v>
      </c>
      <c r="K58" s="24">
        <v>2027</v>
      </c>
      <c r="L58" s="24">
        <v>2028</v>
      </c>
      <c r="M58" s="24">
        <v>2029</v>
      </c>
      <c r="N58" s="24">
        <v>2030</v>
      </c>
      <c r="R58" s="39"/>
    </row>
    <row r="59" spans="1:18">
      <c r="B59" s="35" t="s">
        <v>172</v>
      </c>
      <c r="C59" s="25" cm="1">
        <f t="array" ref="C59">IFERROR(_xlfn.XLOOKUP($B59,'Brondata Energie'!$A$10:$A$14,_xlfn.XLOOKUP(Berekeningen!C$58,'Brondata Energie'!$D$9:$O$9,'Brondata Energie'!$D$10:$O$14)),NA())</f>
        <v>2890</v>
      </c>
      <c r="D59" s="25" cm="1">
        <f t="array" ref="D59">IFERROR(_xlfn.XLOOKUP($B59,'Brondata Energie'!$A$10:$A$14,_xlfn.XLOOKUP(Berekeningen!D$58,'Brondata Energie'!$D$9:$O$9,'Brondata Energie'!$D$10:$O$14)),NA())</f>
        <v>2686</v>
      </c>
      <c r="E59" s="25" cm="1">
        <f t="array" ref="E59">IFERROR(_xlfn.XLOOKUP($B59,'Brondata Energie'!$A$10:$A$14,_xlfn.XLOOKUP(Berekeningen!E$58,'Brondata Energie'!$D$9:$O$9,'Brondata Energie'!$D$10:$O$14)),NA())</f>
        <v>2704</v>
      </c>
      <c r="F59" s="25" cm="1">
        <f t="array" ref="F59">IFERROR(_xlfn.XLOOKUP($B59,'Brondata Energie'!$A$10:$A$14,_xlfn.XLOOKUP(Berekeningen!F$58,'Brondata Energie'!$D$9:$O$9,'Brondata Energie'!$D$10:$O$14)),NA())</f>
        <v>2556</v>
      </c>
      <c r="G59" s="25" cm="1">
        <f t="array" ref="G59">IFERROR(_xlfn.XLOOKUP($B59,'Brondata Energie'!$A$10:$A$14,_xlfn.XLOOKUP(Berekeningen!G$58,'Brondata Energie'!$D$9:$O$9,'Brondata Energie'!$D$10:$O$14)),NA())</f>
        <v>2445</v>
      </c>
      <c r="H59" s="25" t="e" cm="1">
        <f t="array" ref="H59">IFERROR(_xlfn.XLOOKUP($B59,'Brondata Energie'!$A$10:$A$14,_xlfn.XLOOKUP(Berekeningen!H$58,'Brondata Energie'!$D$9:$O$9,'Brondata Energie'!$D$10:$O$14)),NA())</f>
        <v>#N/A</v>
      </c>
      <c r="I59" s="25" t="e" cm="1">
        <f t="array" ref="I59">IFERROR(_xlfn.XLOOKUP($B59,'Brondata Energie'!$A$10:$A$14,_xlfn.XLOOKUP(Berekeningen!I$58,'Brondata Energie'!$D$9:$O$9,'Brondata Energie'!$D$10:$O$14)),NA())</f>
        <v>#N/A</v>
      </c>
      <c r="J59" s="25" t="e" cm="1">
        <f t="array" ref="J59">IFERROR(_xlfn.XLOOKUP($B59,'Brondata Energie'!$A$10:$A$14,_xlfn.XLOOKUP(Berekeningen!J$58,'Brondata Energie'!$D$9:$O$9,'Brondata Energie'!$D$10:$O$14)),NA())</f>
        <v>#N/A</v>
      </c>
      <c r="K59" s="25" t="e" cm="1">
        <f t="array" ref="K59">IFERROR(_xlfn.XLOOKUP($B59,'Brondata Energie'!$A$10:$A$14,_xlfn.XLOOKUP(Berekeningen!K$58,'Brondata Energie'!$D$9:$O$9,'Brondata Energie'!$D$10:$O$14)),NA())</f>
        <v>#N/A</v>
      </c>
      <c r="L59" s="25" t="e" cm="1">
        <f t="array" ref="L59">IFERROR(_xlfn.XLOOKUP($B59,'Brondata Energie'!$A$10:$A$14,_xlfn.XLOOKUP(Berekeningen!L$58,'Brondata Energie'!$D$9:$O$9,'Brondata Energie'!$D$10:$O$14)),NA())</f>
        <v>#N/A</v>
      </c>
      <c r="M59" s="25" t="e" cm="1">
        <f t="array" ref="M59">IFERROR(_xlfn.XLOOKUP($B59,'Brondata Energie'!$A$10:$A$14,_xlfn.XLOOKUP(Berekeningen!M$58,'Brondata Energie'!$D$9:$O$9,'Brondata Energie'!$D$10:$O$14)),NA())</f>
        <v>#N/A</v>
      </c>
      <c r="N59" s="25" t="e" cm="1">
        <f t="array" ref="N59">IFERROR(_xlfn.XLOOKUP($B59,'Brondata Energie'!$A$10:$A$14,_xlfn.XLOOKUP(Berekeningen!N$58,'Brondata Energie'!$D$9:$O$9,'Brondata Energie'!$D$10:$O$14)),NA())</f>
        <v>#N/A</v>
      </c>
    </row>
    <row r="60" spans="1:18">
      <c r="B60" s="35" t="s">
        <v>171</v>
      </c>
      <c r="C60" s="25">
        <f>IF(C59-(SUM(C61:C63))=0,NA(),(C59-(SUM(C61:C63))))</f>
        <v>2726</v>
      </c>
      <c r="D60" s="25">
        <f t="shared" ref="D60:N60" si="13">IF(D59-(SUM(D61:D63))=0,NA(),(D59-(SUM(D61:D63))))</f>
        <v>2518</v>
      </c>
      <c r="E60" s="25">
        <f t="shared" si="13"/>
        <v>2517</v>
      </c>
      <c r="F60" s="25">
        <f t="shared" si="13"/>
        <v>2326</v>
      </c>
      <c r="G60" s="25">
        <f>IF(G59-(SUM(G61:G63))=0,NA(),(G59-(SUM(G61:G63))))</f>
        <v>2189</v>
      </c>
      <c r="H60" s="25" t="e">
        <f t="shared" si="13"/>
        <v>#N/A</v>
      </c>
      <c r="I60" s="25" t="e">
        <f t="shared" si="13"/>
        <v>#N/A</v>
      </c>
      <c r="J60" s="25" t="e">
        <f t="shared" si="13"/>
        <v>#N/A</v>
      </c>
      <c r="K60" s="25" t="e">
        <f t="shared" si="13"/>
        <v>#N/A</v>
      </c>
      <c r="L60" s="25" t="e">
        <f t="shared" si="13"/>
        <v>#N/A</v>
      </c>
      <c r="M60" s="25" t="e">
        <f t="shared" si="13"/>
        <v>#N/A</v>
      </c>
      <c r="N60" s="25" t="e">
        <f t="shared" si="13"/>
        <v>#N/A</v>
      </c>
    </row>
    <row r="61" spans="1:18">
      <c r="B61" s="35" t="s">
        <v>540</v>
      </c>
      <c r="C61" s="25" cm="1">
        <f t="array" ref="C61">IFERROR(_xlfn.XLOOKUP($B61,'Brondata Energie'!$A$10:$A$14,_xlfn.XLOOKUP(Berekeningen!C$58,'Brondata Energie'!$D$9:$O$9,'Brondata Energie'!$D$10:$O$14)),NA())</f>
        <v>108</v>
      </c>
      <c r="D61" s="25" cm="1">
        <f t="array" ref="D61">IFERROR(_xlfn.XLOOKUP($B61,'Brondata Energie'!$A$10:$A$14,_xlfn.XLOOKUP(Berekeningen!D$58,'Brondata Energie'!$D$9:$O$9,'Brondata Energie'!$D$10:$O$14)),NA())</f>
        <v>105</v>
      </c>
      <c r="E61" s="25" cm="1">
        <f t="array" ref="E61">IFERROR(_xlfn.XLOOKUP($B61,'Brondata Energie'!$A$10:$A$14,_xlfn.XLOOKUP(Berekeningen!E$58,'Brondata Energie'!$D$9:$O$9,'Brondata Energie'!$D$10:$O$14)),NA())</f>
        <v>118</v>
      </c>
      <c r="F61" s="25" cm="1">
        <f t="array" ref="F61">IFERROR(_xlfn.XLOOKUP($B61,'Brondata Energie'!$A$10:$A$14,_xlfn.XLOOKUP(Berekeningen!F$58,'Brondata Energie'!$D$9:$O$9,'Brondata Energie'!$D$10:$O$14)),NA())</f>
        <v>138</v>
      </c>
      <c r="G61" s="25" cm="1">
        <f t="array" ref="G61">IFERROR(_xlfn.XLOOKUP($B61,'Brondata Energie'!$A$10:$A$14,_xlfn.XLOOKUP(Berekeningen!G$58,'Brondata Energie'!$D$9:$O$9,'Brondata Energie'!$D$10:$O$14)),NA())</f>
        <v>151</v>
      </c>
      <c r="H61" s="25" t="e" cm="1">
        <f t="array" ref="H61">IFERROR(_xlfn.XLOOKUP($B61,'Brondata Energie'!$A$10:$A$14,_xlfn.XLOOKUP(Berekeningen!H$58,'Brondata Energie'!$D$9:$O$9,'Brondata Energie'!$D$10:$O$14)),NA())</f>
        <v>#N/A</v>
      </c>
      <c r="I61" s="25" t="e" cm="1">
        <f t="array" ref="I61">IFERROR(_xlfn.XLOOKUP($B61,'Brondata Energie'!$A$10:$A$14,_xlfn.XLOOKUP(Berekeningen!I$58,'Brondata Energie'!$D$9:$O$9,'Brondata Energie'!$D$10:$O$14)),NA())</f>
        <v>#N/A</v>
      </c>
      <c r="J61" s="25" t="e" cm="1">
        <f t="array" ref="J61">IFERROR(_xlfn.XLOOKUP($B61,'Brondata Energie'!$A$10:$A$14,_xlfn.XLOOKUP(Berekeningen!J$58,'Brondata Energie'!$D$9:$O$9,'Brondata Energie'!$D$10:$O$14)),NA())</f>
        <v>#N/A</v>
      </c>
      <c r="K61" s="25" t="e" cm="1">
        <f t="array" ref="K61">IFERROR(_xlfn.XLOOKUP($B61,'Brondata Energie'!$A$10:$A$14,_xlfn.XLOOKUP(Berekeningen!K$58,'Brondata Energie'!$D$9:$O$9,'Brondata Energie'!$D$10:$O$14)),NA())</f>
        <v>#N/A</v>
      </c>
      <c r="L61" s="25" t="e" cm="1">
        <f t="array" ref="L61">IFERROR(_xlfn.XLOOKUP($B61,'Brondata Energie'!$A$10:$A$14,_xlfn.XLOOKUP(Berekeningen!L$58,'Brondata Energie'!$D$9:$O$9,'Brondata Energie'!$D$10:$O$14)),NA())</f>
        <v>#N/A</v>
      </c>
      <c r="M61" s="25" t="e" cm="1">
        <f t="array" ref="M61">IFERROR(_xlfn.XLOOKUP($B61,'Brondata Energie'!$A$10:$A$14,_xlfn.XLOOKUP(Berekeningen!M$58,'Brondata Energie'!$D$9:$O$9,'Brondata Energie'!$D$10:$O$14)),NA())</f>
        <v>#N/A</v>
      </c>
      <c r="N61" s="25" t="e" cm="1">
        <f t="array" ref="N61">IFERROR(_xlfn.XLOOKUP($B61,'Brondata Energie'!$A$10:$A$14,_xlfn.XLOOKUP(Berekeningen!N$58,'Brondata Energie'!$D$9:$O$9,'Brondata Energie'!$D$10:$O$14)),NA())</f>
        <v>#N/A</v>
      </c>
    </row>
    <row r="62" spans="1:18">
      <c r="B62" s="35" t="s">
        <v>161</v>
      </c>
      <c r="C62" s="25" cm="1">
        <f t="array" ref="C62">IFERROR(_xlfn.XLOOKUP($B62,'Brondata Energie'!$A$10:$A$14,_xlfn.XLOOKUP(Berekeningen!C$58,'Brondata Energie'!$D$9:$O$9,'Brondata Energie'!$D$10:$O$14)),NA())</f>
        <v>27</v>
      </c>
      <c r="D62" s="25" cm="1">
        <f t="array" ref="D62">IFERROR(_xlfn.XLOOKUP($B62,'Brondata Energie'!$A$10:$A$14,_xlfn.XLOOKUP(Berekeningen!D$58,'Brondata Energie'!$D$9:$O$9,'Brondata Energie'!$D$10:$O$14)),NA())</f>
        <v>38</v>
      </c>
      <c r="E62" s="25" cm="1">
        <f t="array" ref="E62">IFERROR(_xlfn.XLOOKUP($B62,'Brondata Energie'!$A$10:$A$14,_xlfn.XLOOKUP(Berekeningen!E$58,'Brondata Energie'!$D$9:$O$9,'Brondata Energie'!$D$10:$O$14)),NA())</f>
        <v>42</v>
      </c>
      <c r="F62" s="25" cm="1">
        <f t="array" ref="F62">IFERROR(_xlfn.XLOOKUP($B62,'Brondata Energie'!$A$10:$A$14,_xlfn.XLOOKUP(Berekeningen!F$58,'Brondata Energie'!$D$9:$O$9,'Brondata Energie'!$D$10:$O$14)),NA())</f>
        <v>63</v>
      </c>
      <c r="G62" s="25" cm="1">
        <f t="array" ref="G62">IFERROR(_xlfn.XLOOKUP($B62,'Brondata Energie'!$A$10:$A$14,_xlfn.XLOOKUP(Berekeningen!G$58,'Brondata Energie'!$D$9:$O$9,'Brondata Energie'!$D$10:$O$14)),NA())</f>
        <v>74</v>
      </c>
      <c r="H62" s="25" t="e" cm="1">
        <f t="array" ref="H62">IFERROR(_xlfn.XLOOKUP($B62,'Brondata Energie'!$A$10:$A$14,_xlfn.XLOOKUP(Berekeningen!H$58,'Brondata Energie'!$D$9:$O$9,'Brondata Energie'!$D$10:$O$14)),NA())</f>
        <v>#N/A</v>
      </c>
      <c r="I62" s="25" t="e" cm="1">
        <f t="array" ref="I62">IFERROR(_xlfn.XLOOKUP($B62,'Brondata Energie'!$A$10:$A$14,_xlfn.XLOOKUP(Berekeningen!I$58,'Brondata Energie'!$D$9:$O$9,'Brondata Energie'!$D$10:$O$14)),NA())</f>
        <v>#N/A</v>
      </c>
      <c r="J62" s="25" t="e" cm="1">
        <f t="array" ref="J62">IFERROR(_xlfn.XLOOKUP($B62,'Brondata Energie'!$A$10:$A$14,_xlfn.XLOOKUP(Berekeningen!J$58,'Brondata Energie'!$D$9:$O$9,'Brondata Energie'!$D$10:$O$14)),NA())</f>
        <v>#N/A</v>
      </c>
      <c r="K62" s="25" t="e" cm="1">
        <f t="array" ref="K62">IFERROR(_xlfn.XLOOKUP($B62,'Brondata Energie'!$A$10:$A$14,_xlfn.XLOOKUP(Berekeningen!K$58,'Brondata Energie'!$D$9:$O$9,'Brondata Energie'!$D$10:$O$14)),NA())</f>
        <v>#N/A</v>
      </c>
      <c r="L62" s="25" t="e" cm="1">
        <f t="array" ref="L62">IFERROR(_xlfn.XLOOKUP($B62,'Brondata Energie'!$A$10:$A$14,_xlfn.XLOOKUP(Berekeningen!L$58,'Brondata Energie'!$D$9:$O$9,'Brondata Energie'!$D$10:$O$14)),NA())</f>
        <v>#N/A</v>
      </c>
      <c r="M62" s="25" t="e" cm="1">
        <f t="array" ref="M62">IFERROR(_xlfn.XLOOKUP($B62,'Brondata Energie'!$A$10:$A$14,_xlfn.XLOOKUP(Berekeningen!M$58,'Brondata Energie'!$D$9:$O$9,'Brondata Energie'!$D$10:$O$14)),NA())</f>
        <v>#N/A</v>
      </c>
      <c r="N62" s="25" t="e" cm="1">
        <f t="array" ref="N62">IFERROR(_xlfn.XLOOKUP($B62,'Brondata Energie'!$A$10:$A$14,_xlfn.XLOOKUP(Berekeningen!N$58,'Brondata Energie'!$D$9:$O$9,'Brondata Energie'!$D$10:$O$14)),NA())</f>
        <v>#N/A</v>
      </c>
    </row>
    <row r="63" spans="1:18">
      <c r="B63" s="35" t="s">
        <v>162</v>
      </c>
      <c r="C63" s="25" cm="1">
        <f t="array" ref="C63">IFERROR(_xlfn.XLOOKUP($B63,'Brondata Energie'!$A$10:$A$14,_xlfn.XLOOKUP(Berekeningen!C$58,'Brondata Energie'!$D$9:$O$9,'Brondata Energie'!$D$10:$O$14)),NA())</f>
        <v>29</v>
      </c>
      <c r="D63" s="25" cm="1">
        <f t="array" ref="D63">IFERROR(_xlfn.XLOOKUP($B63,'Brondata Energie'!$A$10:$A$14,_xlfn.XLOOKUP(Berekeningen!D$58,'Brondata Energie'!$D$9:$O$9,'Brondata Energie'!$D$10:$O$14)),NA())</f>
        <v>25</v>
      </c>
      <c r="E63" s="25" cm="1">
        <f t="array" ref="E63">IFERROR(_xlfn.XLOOKUP($B63,'Brondata Energie'!$A$10:$A$14,_xlfn.XLOOKUP(Berekeningen!E$58,'Brondata Energie'!$D$9:$O$9,'Brondata Energie'!$D$10:$O$14)),NA())</f>
        <v>27</v>
      </c>
      <c r="F63" s="25" cm="1">
        <f t="array" ref="F63">IFERROR(_xlfn.XLOOKUP($B63,'Brondata Energie'!$A$10:$A$14,_xlfn.XLOOKUP(Berekeningen!F$58,'Brondata Energie'!$D$9:$O$9,'Brondata Energie'!$D$10:$O$14)),NA())</f>
        <v>29</v>
      </c>
      <c r="G63" s="25" cm="1">
        <f t="array" ref="G63">IFERROR(_xlfn.XLOOKUP($B63,'Brondata Energie'!$A$10:$A$14,_xlfn.XLOOKUP(Berekeningen!G$58,'Brondata Energie'!$D$9:$O$9,'Brondata Energie'!$D$10:$O$14)),NA())</f>
        <v>31</v>
      </c>
      <c r="H63" s="25" t="e" cm="1">
        <f t="array" ref="H63">IFERROR(_xlfn.XLOOKUP($B63,'Brondata Energie'!$A$10:$A$14,_xlfn.XLOOKUP(Berekeningen!H$58,'Brondata Energie'!$D$9:$O$9,'Brondata Energie'!$D$10:$O$14)),NA())</f>
        <v>#N/A</v>
      </c>
      <c r="I63" s="25" t="e" cm="1">
        <f t="array" ref="I63">IFERROR(_xlfn.XLOOKUP($B63,'Brondata Energie'!$A$10:$A$14,_xlfn.XLOOKUP(Berekeningen!I$58,'Brondata Energie'!$D$9:$O$9,'Brondata Energie'!$D$10:$O$14)),NA())</f>
        <v>#N/A</v>
      </c>
      <c r="J63" s="25" t="e" cm="1">
        <f t="array" ref="J63">IFERROR(_xlfn.XLOOKUP($B63,'Brondata Energie'!$A$10:$A$14,_xlfn.XLOOKUP(Berekeningen!J$58,'Brondata Energie'!$D$9:$O$9,'Brondata Energie'!$D$10:$O$14)),NA())</f>
        <v>#N/A</v>
      </c>
      <c r="K63" s="25" t="e" cm="1">
        <f t="array" ref="K63">IFERROR(_xlfn.XLOOKUP($B63,'Brondata Energie'!$A$10:$A$14,_xlfn.XLOOKUP(Berekeningen!K$58,'Brondata Energie'!$D$9:$O$9,'Brondata Energie'!$D$10:$O$14)),NA())</f>
        <v>#N/A</v>
      </c>
      <c r="L63" s="25" t="e" cm="1">
        <f t="array" ref="L63">IFERROR(_xlfn.XLOOKUP($B63,'Brondata Energie'!$A$10:$A$14,_xlfn.XLOOKUP(Berekeningen!L$58,'Brondata Energie'!$D$9:$O$9,'Brondata Energie'!$D$10:$O$14)),NA())</f>
        <v>#N/A</v>
      </c>
      <c r="M63" s="25" t="e" cm="1">
        <f t="array" ref="M63">IFERROR(_xlfn.XLOOKUP($B63,'Brondata Energie'!$A$10:$A$14,_xlfn.XLOOKUP(Berekeningen!M$58,'Brondata Energie'!$D$9:$O$9,'Brondata Energie'!$D$10:$O$14)),NA())</f>
        <v>#N/A</v>
      </c>
      <c r="N63" s="25" t="e" cm="1">
        <f t="array" ref="N63">IFERROR(_xlfn.XLOOKUP($B63,'Brondata Energie'!$A$10:$A$14,_xlfn.XLOOKUP(Berekeningen!N$58,'Brondata Energie'!$D$9:$O$9,'Brondata Energie'!$D$10:$O$14)),NA())</f>
        <v>#N/A</v>
      </c>
    </row>
    <row r="64" spans="1:18">
      <c r="B64" s="35" t="s">
        <v>163</v>
      </c>
      <c r="C64" s="25" cm="1">
        <f t="array" ref="C64">IFERROR(_xlfn.XLOOKUP($B64,'Brondata Energie'!$A$10:$A$14,_xlfn.XLOOKUP(Berekeningen!C$58,'Brondata Energie'!$D$9:$O$9,'Brondata Energie'!$D$10:$O$14)),NA())</f>
        <v>53</v>
      </c>
      <c r="D64" s="25" cm="1">
        <f t="array" ref="D64">IFERROR(_xlfn.XLOOKUP($B64,'Brondata Energie'!$A$10:$A$14,_xlfn.XLOOKUP(Berekeningen!D$58,'Brondata Energie'!$D$9:$O$9,'Brondata Energie'!$D$10:$O$14)),NA())</f>
        <v>43</v>
      </c>
      <c r="E64" s="25" cm="1">
        <f t="array" ref="E64">IFERROR(_xlfn.XLOOKUP($B64,'Brondata Energie'!$A$10:$A$14,_xlfn.XLOOKUP(Berekeningen!E$58,'Brondata Energie'!$D$9:$O$9,'Brondata Energie'!$D$10:$O$14)),NA())</f>
        <v>49</v>
      </c>
      <c r="F64" s="25" cm="1">
        <f t="array" ref="F64">IFERROR(_xlfn.XLOOKUP($B64,'Brondata Energie'!$A$10:$A$14,_xlfn.XLOOKUP(Berekeningen!F$58,'Brondata Energie'!$D$9:$O$9,'Brondata Energie'!$D$10:$O$14)),NA())</f>
        <v>46</v>
      </c>
      <c r="G64" s="25" cm="1">
        <f t="array" ref="G64">IFERROR(_xlfn.XLOOKUP($B64,'Brondata Energie'!$A$10:$A$14,_xlfn.XLOOKUP(Berekeningen!G$58,'Brondata Energie'!$D$9:$O$9,'Brondata Energie'!$D$10:$O$14)),NA())</f>
        <v>46</v>
      </c>
      <c r="H64" s="25" t="e" cm="1">
        <f t="array" ref="H64">IFERROR(_xlfn.XLOOKUP($B64,'Brondata Energie'!$A$10:$A$14,_xlfn.XLOOKUP(Berekeningen!H$58,'Brondata Energie'!$D$9:$O$9,'Brondata Energie'!$D$10:$O$14)),NA())</f>
        <v>#N/A</v>
      </c>
      <c r="I64" s="25" t="e" cm="1">
        <f t="array" ref="I64">IFERROR(_xlfn.XLOOKUP($B64,'Brondata Energie'!$A$10:$A$14,_xlfn.XLOOKUP(Berekeningen!I$58,'Brondata Energie'!$D$9:$O$9,'Brondata Energie'!$D$10:$O$14)),NA())</f>
        <v>#N/A</v>
      </c>
      <c r="J64" s="25" t="e" cm="1">
        <f t="array" ref="J64">IFERROR(_xlfn.XLOOKUP($B64,'Brondata Energie'!$A$10:$A$14,_xlfn.XLOOKUP(Berekeningen!J$58,'Brondata Energie'!$D$9:$O$9,'Brondata Energie'!$D$10:$O$14)),NA())</f>
        <v>#N/A</v>
      </c>
      <c r="K64" s="25" t="e" cm="1">
        <f t="array" ref="K64">IFERROR(_xlfn.XLOOKUP($B64,'Brondata Energie'!$A$10:$A$14,_xlfn.XLOOKUP(Berekeningen!K$58,'Brondata Energie'!$D$9:$O$9,'Brondata Energie'!$D$10:$O$14)),NA())</f>
        <v>#N/A</v>
      </c>
      <c r="L64" s="25" t="e" cm="1">
        <f t="array" ref="L64">IFERROR(_xlfn.XLOOKUP($B64,'Brondata Energie'!$A$10:$A$14,_xlfn.XLOOKUP(Berekeningen!L$58,'Brondata Energie'!$D$9:$O$9,'Brondata Energie'!$D$10:$O$14)),NA())</f>
        <v>#N/A</v>
      </c>
      <c r="M64" s="25" t="e" cm="1">
        <f t="array" ref="M64">IFERROR(_xlfn.XLOOKUP($B64,'Brondata Energie'!$A$10:$A$14,_xlfn.XLOOKUP(Berekeningen!M$58,'Brondata Energie'!$D$9:$O$9,'Brondata Energie'!$D$10:$O$14)),NA())</f>
        <v>#N/A</v>
      </c>
      <c r="N64" s="25" t="e" cm="1">
        <f t="array" ref="N64">IFERROR(_xlfn.XLOOKUP($B64,'Brondata Energie'!$A$10:$A$14,_xlfn.XLOOKUP(Berekeningen!N$58,'Brondata Energie'!$D$9:$O$9,'Brondata Energie'!$D$10:$O$14)),NA())</f>
        <v>#N/A</v>
      </c>
    </row>
    <row r="65" spans="1:17">
      <c r="B65" s="24" t="s">
        <v>164</v>
      </c>
      <c r="C65" s="26">
        <f>IF((C61/C59)=0,NA(),(C61/C59))</f>
        <v>3.7370242214532869E-2</v>
      </c>
      <c r="D65" s="26">
        <f t="shared" ref="D65:N65" si="14">IF((D61/D59)=0,NA(),(D61/D59))</f>
        <v>3.9091586001489202E-2</v>
      </c>
      <c r="E65" s="26">
        <f t="shared" si="14"/>
        <v>4.3639053254437871E-2</v>
      </c>
      <c r="F65" s="26">
        <f t="shared" si="14"/>
        <v>5.39906103286385E-2</v>
      </c>
      <c r="G65" s="26">
        <f t="shared" si="14"/>
        <v>6.1758691206543967E-2</v>
      </c>
      <c r="H65" s="26" t="e">
        <f t="shared" si="14"/>
        <v>#N/A</v>
      </c>
      <c r="I65" s="26" t="e">
        <f t="shared" si="14"/>
        <v>#N/A</v>
      </c>
      <c r="J65" s="26" t="e">
        <f t="shared" si="14"/>
        <v>#N/A</v>
      </c>
      <c r="K65" s="26" t="e">
        <f t="shared" si="14"/>
        <v>#N/A</v>
      </c>
      <c r="L65" s="26" t="e">
        <f t="shared" si="14"/>
        <v>#N/A</v>
      </c>
      <c r="M65" s="26" t="e">
        <f t="shared" si="14"/>
        <v>#N/A</v>
      </c>
      <c r="N65" s="26" t="e">
        <f t="shared" si="14"/>
        <v>#N/A</v>
      </c>
    </row>
    <row r="68" spans="1:17">
      <c r="B68" s="19" t="s">
        <v>173</v>
      </c>
      <c r="C68" s="32">
        <v>2019</v>
      </c>
      <c r="D68" s="32">
        <v>2020</v>
      </c>
      <c r="E68" s="32">
        <v>2021</v>
      </c>
      <c r="F68" s="32">
        <v>2022</v>
      </c>
      <c r="G68" s="32">
        <v>2023</v>
      </c>
      <c r="H68" s="32">
        <v>2024</v>
      </c>
      <c r="I68" s="32">
        <v>2025</v>
      </c>
      <c r="J68" s="32">
        <v>2026</v>
      </c>
      <c r="K68" s="32">
        <v>2027</v>
      </c>
      <c r="L68" s="32">
        <v>2028</v>
      </c>
      <c r="M68" s="32">
        <v>2029</v>
      </c>
      <c r="N68" s="24">
        <v>2030</v>
      </c>
    </row>
    <row r="69" spans="1:17">
      <c r="B69" s="35" t="s">
        <v>538</v>
      </c>
      <c r="C69" s="25" cm="1">
        <f t="array" ref="C69">IFERROR(_xlfn.XLOOKUP($B69,'Brondata Energie'!$A$31:$A$35,_xlfn.XLOOKUP(Berekeningen!C$68,'Brondata Energie'!$D$30:$O$30,'Brondata Energie'!$D$31:$O$35)),NA())</f>
        <v>22</v>
      </c>
      <c r="D69" s="25" cm="1">
        <f t="array" ref="D69">IFERROR(_xlfn.XLOOKUP($B69,'Brondata Energie'!$A$31:$A$35,_xlfn.XLOOKUP(Berekeningen!D$68,'Brondata Energie'!$D$30:$O$30,'Brondata Energie'!$D$31:$O$35)),NA())</f>
        <v>34</v>
      </c>
      <c r="E69" s="25" cm="1">
        <f t="array" ref="E69">IFERROR(_xlfn.XLOOKUP($B69,'Brondata Energie'!$A$31:$A$35,_xlfn.XLOOKUP(Berekeningen!E$68,'Brondata Energie'!$D$30:$O$30,'Brondata Energie'!$D$31:$O$35)),NA())</f>
        <v>39</v>
      </c>
      <c r="F69" s="25" cm="1">
        <f t="array" ref="F69">IFERROR(_xlfn.XLOOKUP($B69,'Brondata Energie'!$A$31:$A$35,_xlfn.XLOOKUP(Berekeningen!F$68,'Brondata Energie'!$D$30:$O$30,'Brondata Energie'!$D$31:$O$35)),NA())</f>
        <v>60</v>
      </c>
      <c r="G69" s="25" cm="1">
        <f t="array" ref="G69">IFERROR(_xlfn.XLOOKUP($B69,'Brondata Energie'!$A$31:$A$35,_xlfn.XLOOKUP(Berekeningen!G$68,'Brondata Energie'!$D$30:$O$30,'Brondata Energie'!$D$31:$O$35)),NA())</f>
        <v>71</v>
      </c>
      <c r="H69" s="25" t="e" cm="1">
        <f t="array" ref="H69">IFERROR(_xlfn.XLOOKUP($B69,'Brondata Energie'!$A$31:$A$35,_xlfn.XLOOKUP(Berekeningen!H$68,'Brondata Energie'!$D$30:$O$30,'Brondata Energie'!$D$31:$O$35)),NA())</f>
        <v>#N/A</v>
      </c>
      <c r="I69" s="25" t="e" cm="1">
        <f t="array" ref="I69">IFERROR(_xlfn.XLOOKUP($B69,'Brondata Energie'!$A$31:$A$35,_xlfn.XLOOKUP(Berekeningen!I$68,'Brondata Energie'!$D$30:$O$30,'Brondata Energie'!$D$31:$O$35)),NA())</f>
        <v>#N/A</v>
      </c>
      <c r="J69" s="25" t="e" cm="1">
        <f t="array" ref="J69">IFERROR(_xlfn.XLOOKUP($B69,'Brondata Energie'!$A$31:$A$35,_xlfn.XLOOKUP(Berekeningen!J$68,'Brondata Energie'!$D$30:$O$30,'Brondata Energie'!$D$31:$O$35)),NA())</f>
        <v>#N/A</v>
      </c>
      <c r="K69" s="25" t="e" cm="1">
        <f t="array" ref="K69">IFERROR(_xlfn.XLOOKUP($B69,'Brondata Energie'!$A$31:$A$35,_xlfn.XLOOKUP(Berekeningen!K$68,'Brondata Energie'!$D$30:$O$30,'Brondata Energie'!$D$31:$O$35)),NA())</f>
        <v>#N/A</v>
      </c>
      <c r="L69" s="25" t="e" cm="1">
        <f t="array" ref="L69">IFERROR(_xlfn.XLOOKUP($B69,'Brondata Energie'!$A$31:$A$35,_xlfn.XLOOKUP(Berekeningen!L$68,'Brondata Energie'!$D$30:$O$30,'Brondata Energie'!$D$31:$O$35)),NA())</f>
        <v>#N/A</v>
      </c>
      <c r="M69" s="25" t="e" cm="1">
        <f t="array" ref="M69">IFERROR(_xlfn.XLOOKUP($B69,'Brondata Energie'!$A$31:$A$35,_xlfn.XLOOKUP(Berekeningen!M$68,'Brondata Energie'!$D$30:$O$30,'Brondata Energie'!$D$31:$O$35)),NA())</f>
        <v>#N/A</v>
      </c>
      <c r="N69" s="25" t="e" cm="1">
        <f t="array" ref="N69">IFERROR(_xlfn.XLOOKUP($B69,'Brondata Energie'!$A$31:$A$35,_xlfn.XLOOKUP(Berekeningen!N$68,'Brondata Energie'!$D$30:$O$30,'Brondata Energie'!$D$31:$O$35)),NA())</f>
        <v>#N/A</v>
      </c>
      <c r="P69" t="s">
        <v>190</v>
      </c>
    </row>
    <row r="70" spans="1:17">
      <c r="A70" s="37"/>
      <c r="B70" s="35" t="s">
        <v>539</v>
      </c>
      <c r="C70" s="25" cm="1">
        <f t="array" ref="C70">IFERROR(_xlfn.XLOOKUP($B70,'Brondata Energie'!$A$31:$A$35,_xlfn.XLOOKUP(Berekeningen!C$68,'Brondata Energie'!$D$30:$O$30,'Brondata Energie'!$D$31:$O$35)),NA())</f>
        <v>6</v>
      </c>
      <c r="D70" s="25" cm="1">
        <f t="array" ref="D70">IFERROR(_xlfn.XLOOKUP($B70,'Brondata Energie'!$A$31:$A$35,_xlfn.XLOOKUP(Berekeningen!D$68,'Brondata Energie'!$D$30:$O$30,'Brondata Energie'!$D$31:$O$35)),NA())</f>
        <v>10</v>
      </c>
      <c r="E70" s="25" cm="1">
        <f t="array" ref="E70">IFERROR(_xlfn.XLOOKUP($B70,'Brondata Energie'!$A$31:$A$35,_xlfn.XLOOKUP(Berekeningen!E$68,'Brondata Energie'!$D$30:$O$30,'Brondata Energie'!$D$31:$O$35)),NA())</f>
        <v>11</v>
      </c>
      <c r="F70" s="25" cm="1">
        <f t="array" ref="F70">IFERROR(_xlfn.XLOOKUP($B70,'Brondata Energie'!$A$31:$A$35,_xlfn.XLOOKUP(Berekeningen!F$68,'Brondata Energie'!$D$30:$O$30,'Brondata Energie'!$D$31:$O$35)),NA())</f>
        <v>17</v>
      </c>
      <c r="G70" s="25" cm="1">
        <f t="array" ref="G70">IFERROR(_xlfn.XLOOKUP($B70,'Brondata Energie'!$A$31:$A$35,_xlfn.XLOOKUP(Berekeningen!G$68,'Brondata Energie'!$D$30:$O$30,'Brondata Energie'!$D$31:$O$35)),NA())</f>
        <v>20</v>
      </c>
      <c r="H70" s="25" t="e" cm="1">
        <f t="array" ref="H70">IFERROR(_xlfn.XLOOKUP($B70,'Brondata Energie'!$A$31:$A$35,_xlfn.XLOOKUP(Berekeningen!H$68,'Brondata Energie'!$D$30:$O$30,'Brondata Energie'!$D$31:$O$35)),NA())</f>
        <v>#N/A</v>
      </c>
      <c r="I70" s="25" t="e" cm="1">
        <f t="array" ref="I70">IFERROR(_xlfn.XLOOKUP($B70,'Brondata Energie'!$A$31:$A$35,_xlfn.XLOOKUP(Berekeningen!I$68,'Brondata Energie'!$D$30:$O$30,'Brondata Energie'!$D$31:$O$35)),NA())</f>
        <v>#N/A</v>
      </c>
      <c r="J70" s="25" t="e" cm="1">
        <f t="array" ref="J70">IFERROR(_xlfn.XLOOKUP($B70,'Brondata Energie'!$A$31:$A$35,_xlfn.XLOOKUP(Berekeningen!J$68,'Brondata Energie'!$D$30:$O$30,'Brondata Energie'!$D$31:$O$35)),NA())</f>
        <v>#N/A</v>
      </c>
      <c r="K70" s="25" t="e" cm="1">
        <f t="array" ref="K70">IFERROR(_xlfn.XLOOKUP($B70,'Brondata Energie'!$A$31:$A$35,_xlfn.XLOOKUP(Berekeningen!K$68,'Brondata Energie'!$D$30:$O$30,'Brondata Energie'!$D$31:$O$35)),NA())</f>
        <v>#N/A</v>
      </c>
      <c r="L70" s="25" t="e" cm="1">
        <f t="array" ref="L70">IFERROR(_xlfn.XLOOKUP($B70,'Brondata Energie'!$A$31:$A$35,_xlfn.XLOOKUP(Berekeningen!L$68,'Brondata Energie'!$D$30:$O$30,'Brondata Energie'!$D$31:$O$35)),NA())</f>
        <v>#N/A</v>
      </c>
      <c r="M70" s="25" t="e" cm="1">
        <f t="array" ref="M70">IFERROR(_xlfn.XLOOKUP($B70,'Brondata Energie'!$A$31:$A$35,_xlfn.XLOOKUP(Berekeningen!M$68,'Brondata Energie'!$D$30:$O$30,'Brondata Energie'!$D$31:$O$35)),NA())</f>
        <v>#N/A</v>
      </c>
      <c r="N70" s="25" t="e" cm="1">
        <f t="array" ref="N70">IFERROR(_xlfn.XLOOKUP($B70,'Brondata Energie'!$A$31:$A$35,_xlfn.XLOOKUP(Berekeningen!N$68,'Brondata Energie'!$D$30:$O$30,'Brondata Energie'!$D$31:$O$35)),NA())</f>
        <v>#N/A</v>
      </c>
    </row>
    <row r="71" spans="1:17">
      <c r="B71" s="35" t="s">
        <v>180</v>
      </c>
      <c r="C71" s="25" t="str" cm="1">
        <f t="array" ref="C71">IFERROR(_xlfn.XLOOKUP($B71,'Brondata Energie'!$A$31:$A$35,_xlfn.XLOOKUP(Berekeningen!C$68,'Brondata Energie'!$D$30:$O$30,'Brondata Energie'!$D$31:$O$35)),NA())</f>
        <v/>
      </c>
      <c r="D71" s="25" cm="1">
        <f t="array" ref="D71">IFERROR(_xlfn.XLOOKUP($B71,'Brondata Energie'!$A$31:$A$35,_xlfn.XLOOKUP(Berekeningen!D$68,'Brondata Energie'!$D$30:$O$30,'Brondata Energie'!$D$31:$O$35)),NA())</f>
        <v>8</v>
      </c>
      <c r="E71" s="25" cm="1">
        <f t="array" ref="E71">IFERROR(_xlfn.XLOOKUP($B71,'Brondata Energie'!$A$31:$A$35,_xlfn.XLOOKUP(Berekeningen!E$68,'Brondata Energie'!$D$30:$O$30,'Brondata Energie'!$D$31:$O$35)),NA())</f>
        <v>9</v>
      </c>
      <c r="F71" s="25" cm="1">
        <f t="array" ref="F71">IFERROR(_xlfn.XLOOKUP($B71,'Brondata Energie'!$A$31:$A$35,_xlfn.XLOOKUP(Berekeningen!F$68,'Brondata Energie'!$D$30:$O$30,'Brondata Energie'!$D$31:$O$35)),NA())</f>
        <v>13</v>
      </c>
      <c r="G71" s="25" cm="1">
        <f t="array" ref="G71">IFERROR(_xlfn.XLOOKUP($B71,'Brondata Energie'!$A$31:$A$35,_xlfn.XLOOKUP(Berekeningen!G$68,'Brondata Energie'!$D$30:$O$30,'Brondata Energie'!$D$31:$O$35)),NA())</f>
        <v>15</v>
      </c>
      <c r="H71" s="25" t="e" cm="1">
        <f t="array" ref="H71">IFERROR(_xlfn.XLOOKUP($B71,'Brondata Energie'!$A$31:$A$35,_xlfn.XLOOKUP(Berekeningen!H$68,'Brondata Energie'!$D$30:$O$30,'Brondata Energie'!$D$31:$O$35)),NA())</f>
        <v>#N/A</v>
      </c>
      <c r="I71" s="25" t="e" cm="1">
        <f t="array" ref="I71">IFERROR(_xlfn.XLOOKUP($B71,'Brondata Energie'!$A$31:$A$35,_xlfn.XLOOKUP(Berekeningen!I$68,'Brondata Energie'!$D$30:$O$30,'Brondata Energie'!$D$31:$O$35)),NA())</f>
        <v>#N/A</v>
      </c>
      <c r="J71" s="25" t="e" cm="1">
        <f t="array" ref="J71">IFERROR(_xlfn.XLOOKUP($B71,'Brondata Energie'!$A$31:$A$35,_xlfn.XLOOKUP(Berekeningen!J$68,'Brondata Energie'!$D$30:$O$30,'Brondata Energie'!$D$31:$O$35)),NA())</f>
        <v>#N/A</v>
      </c>
      <c r="K71" s="25" t="e" cm="1">
        <f t="array" ref="K71">IFERROR(_xlfn.XLOOKUP($B71,'Brondata Energie'!$A$31:$A$35,_xlfn.XLOOKUP(Berekeningen!K$68,'Brondata Energie'!$D$30:$O$30,'Brondata Energie'!$D$31:$O$35)),NA())</f>
        <v>#N/A</v>
      </c>
      <c r="L71" s="25" t="e" cm="1">
        <f t="array" ref="L71">IFERROR(_xlfn.XLOOKUP($B71,'Brondata Energie'!$A$31:$A$35,_xlfn.XLOOKUP(Berekeningen!L$68,'Brondata Energie'!$D$30:$O$30,'Brondata Energie'!$D$31:$O$35)),NA())</f>
        <v>#N/A</v>
      </c>
      <c r="M71" s="25" t="e" cm="1">
        <f t="array" ref="M71">IFERROR(_xlfn.XLOOKUP($B71,'Brondata Energie'!$A$31:$A$35,_xlfn.XLOOKUP(Berekeningen!M$68,'Brondata Energie'!$D$30:$O$30,'Brondata Energie'!$D$31:$O$35)),NA())</f>
        <v>#N/A</v>
      </c>
      <c r="N71" s="25" t="e" cm="1">
        <f t="array" ref="N71">IFERROR(_xlfn.XLOOKUP($B71,'Brondata Energie'!$A$31:$A$35,_xlfn.XLOOKUP(Berekeningen!N$68,'Brondata Energie'!$D$30:$O$30,'Brondata Energie'!$D$31:$O$35)),NA())</f>
        <v>#N/A</v>
      </c>
      <c r="Q71" s="39"/>
    </row>
    <row r="72" spans="1:17">
      <c r="B72" s="35" t="s">
        <v>181</v>
      </c>
      <c r="C72" s="25" t="str" cm="1">
        <f t="array" ref="C72">IFERROR(_xlfn.XLOOKUP($B72,'Brondata Energie'!$A$31:$A$35,_xlfn.XLOOKUP(Berekeningen!C$68,'Brondata Energie'!$D$30:$O$30,'Brondata Energie'!$D$31:$O$35)),NA())</f>
        <v/>
      </c>
      <c r="D72" s="25" cm="1">
        <f t="array" ref="D72">IFERROR(_xlfn.XLOOKUP($B72,'Brondata Energie'!$A$31:$A$35,_xlfn.XLOOKUP(Berekeningen!D$68,'Brondata Energie'!$D$30:$O$30,'Brondata Energie'!$D$31:$O$35)),NA())</f>
        <v>2</v>
      </c>
      <c r="E72" s="25" cm="1">
        <f t="array" ref="E72">IFERROR(_xlfn.XLOOKUP($B72,'Brondata Energie'!$A$31:$A$35,_xlfn.XLOOKUP(Berekeningen!E$68,'Brondata Energie'!$D$30:$O$30,'Brondata Energie'!$D$31:$O$35)),NA())</f>
        <v>2</v>
      </c>
      <c r="F72" s="25" cm="1">
        <f t="array" ref="F72">IFERROR(_xlfn.XLOOKUP($B72,'Brondata Energie'!$A$31:$A$35,_xlfn.XLOOKUP(Berekeningen!F$68,'Brondata Energie'!$D$30:$O$30,'Brondata Energie'!$D$31:$O$35)),NA())</f>
        <v>4</v>
      </c>
      <c r="G72" s="25" cm="1">
        <f t="array" ref="G72">IFERROR(_xlfn.XLOOKUP($B72,'Brondata Energie'!$A$31:$A$35,_xlfn.XLOOKUP(Berekeningen!G$68,'Brondata Energie'!$D$30:$O$30,'Brondata Energie'!$D$31:$O$35)),NA())</f>
        <v>5</v>
      </c>
      <c r="H72" s="25" t="e" cm="1">
        <f t="array" ref="H72">IFERROR(_xlfn.XLOOKUP($B72,'Brondata Energie'!$A$31:$A$35,_xlfn.XLOOKUP(Berekeningen!H$68,'Brondata Energie'!$D$30:$O$30,'Brondata Energie'!$D$31:$O$35)),NA())</f>
        <v>#N/A</v>
      </c>
      <c r="I72" s="25" t="e" cm="1">
        <f t="array" ref="I72">IFERROR(_xlfn.XLOOKUP($B72,'Brondata Energie'!$A$31:$A$35,_xlfn.XLOOKUP(Berekeningen!I$68,'Brondata Energie'!$D$30:$O$30,'Brondata Energie'!$D$31:$O$35)),NA())</f>
        <v>#N/A</v>
      </c>
      <c r="J72" s="25" t="e" cm="1">
        <f t="array" ref="J72">IFERROR(_xlfn.XLOOKUP($B72,'Brondata Energie'!$A$31:$A$35,_xlfn.XLOOKUP(Berekeningen!J$68,'Brondata Energie'!$D$30:$O$30,'Brondata Energie'!$D$31:$O$35)),NA())</f>
        <v>#N/A</v>
      </c>
      <c r="K72" s="25" t="e" cm="1">
        <f t="array" ref="K72">IFERROR(_xlfn.XLOOKUP($B72,'Brondata Energie'!$A$31:$A$35,_xlfn.XLOOKUP(Berekeningen!K$68,'Brondata Energie'!$D$30:$O$30,'Brondata Energie'!$D$31:$O$35)),NA())</f>
        <v>#N/A</v>
      </c>
      <c r="L72" s="25" t="e" cm="1">
        <f t="array" ref="L72">IFERROR(_xlfn.XLOOKUP($B72,'Brondata Energie'!$A$31:$A$35,_xlfn.XLOOKUP(Berekeningen!L$68,'Brondata Energie'!$D$30:$O$30,'Brondata Energie'!$D$31:$O$35)),NA())</f>
        <v>#N/A</v>
      </c>
      <c r="M72" s="25" t="e" cm="1">
        <f t="array" ref="M72">IFERROR(_xlfn.XLOOKUP($B72,'Brondata Energie'!$A$31:$A$35,_xlfn.XLOOKUP(Berekeningen!M$68,'Brondata Energie'!$D$30:$O$30,'Brondata Energie'!$D$31:$O$35)),NA())</f>
        <v>#N/A</v>
      </c>
      <c r="N72" s="25" t="e" cm="1">
        <f t="array" ref="N72">IFERROR(_xlfn.XLOOKUP($B72,'Brondata Energie'!$A$31:$A$35,_xlfn.XLOOKUP(Berekeningen!N$68,'Brondata Energie'!$D$30:$O$30,'Brondata Energie'!$D$31:$O$35)),NA())</f>
        <v>#N/A</v>
      </c>
    </row>
    <row r="73" spans="1:17">
      <c r="B73" s="35" t="s">
        <v>182</v>
      </c>
      <c r="C73" s="25" cm="1">
        <f t="array" ref="C73">IFERROR(_xlfn.XLOOKUP($B73,'Brondata Energie'!$A$31:$A$35,_xlfn.XLOOKUP(Berekeningen!C$68,'Brondata Energie'!$D$30:$O$30,'Brondata Energie'!$D$31:$O$35)),NA())</f>
        <v>17</v>
      </c>
      <c r="D73" s="25" cm="1">
        <f t="array" ref="D73">IFERROR(_xlfn.XLOOKUP($B73,'Brondata Energie'!$A$31:$A$35,_xlfn.XLOOKUP(Berekeningen!D$68,'Brondata Energie'!$D$30:$O$30,'Brondata Energie'!$D$31:$O$35)),NA())</f>
        <v>27</v>
      </c>
      <c r="E73" s="25" cm="1">
        <f t="array" ref="E73">IFERROR(_xlfn.XLOOKUP($B73,'Brondata Energie'!$A$31:$A$35,_xlfn.XLOOKUP(Berekeningen!E$68,'Brondata Energie'!$D$30:$O$30,'Brondata Energie'!$D$31:$O$35)),NA())</f>
        <v>32</v>
      </c>
      <c r="F73" s="25" cm="1">
        <f t="array" ref="F73">IFERROR(_xlfn.XLOOKUP($B73,'Brondata Energie'!$A$31:$A$35,_xlfn.XLOOKUP(Berekeningen!F$68,'Brondata Energie'!$D$30:$O$30,'Brondata Energie'!$D$31:$O$35)),NA())</f>
        <v>46</v>
      </c>
      <c r="G73" s="25" cm="1">
        <f t="array" ref="G73">IFERROR(_xlfn.XLOOKUP($B73,'Brondata Energie'!$A$31:$A$35,_xlfn.XLOOKUP(Berekeningen!G$68,'Brondata Energie'!$D$30:$O$30,'Brondata Energie'!$D$31:$O$35)),NA())</f>
        <v>54</v>
      </c>
      <c r="H73" s="25" t="e" cm="1">
        <f t="array" ref="H73">IFERROR(_xlfn.XLOOKUP($B73,'Brondata Energie'!$A$31:$A$35,_xlfn.XLOOKUP(Berekeningen!H$68,'Brondata Energie'!$D$30:$O$30,'Brondata Energie'!$D$31:$O$35)),NA())</f>
        <v>#N/A</v>
      </c>
      <c r="I73" s="25" t="e" cm="1">
        <f t="array" ref="I73">IFERROR(_xlfn.XLOOKUP($B73,'Brondata Energie'!$A$31:$A$35,_xlfn.XLOOKUP(Berekeningen!I$68,'Brondata Energie'!$D$30:$O$30,'Brondata Energie'!$D$31:$O$35)),NA())</f>
        <v>#N/A</v>
      </c>
      <c r="J73" s="25" t="e" cm="1">
        <f t="array" ref="J73">IFERROR(_xlfn.XLOOKUP($B73,'Brondata Energie'!$A$31:$A$35,_xlfn.XLOOKUP(Berekeningen!J$68,'Brondata Energie'!$D$30:$O$30,'Brondata Energie'!$D$31:$O$35)),NA())</f>
        <v>#N/A</v>
      </c>
      <c r="K73" s="25" t="e" cm="1">
        <f t="array" ref="K73">IFERROR(_xlfn.XLOOKUP($B73,'Brondata Energie'!$A$31:$A$35,_xlfn.XLOOKUP(Berekeningen!K$68,'Brondata Energie'!$D$30:$O$30,'Brondata Energie'!$D$31:$O$35)),NA())</f>
        <v>#N/A</v>
      </c>
      <c r="L73" s="25" t="e" cm="1">
        <f t="array" ref="L73">IFERROR(_xlfn.XLOOKUP($B73,'Brondata Energie'!$A$31:$A$35,_xlfn.XLOOKUP(Berekeningen!L$68,'Brondata Energie'!$D$30:$O$30,'Brondata Energie'!$D$31:$O$35)),NA())</f>
        <v>#N/A</v>
      </c>
      <c r="M73" s="25" t="e" cm="1">
        <f t="array" ref="M73">IFERROR(_xlfn.XLOOKUP($B73,'Brondata Energie'!$A$31:$A$35,_xlfn.XLOOKUP(Berekeningen!M$68,'Brondata Energie'!$D$30:$O$30,'Brondata Energie'!$D$31:$O$35)),NA())</f>
        <v>#N/A</v>
      </c>
      <c r="N73" s="25" t="e" cm="1">
        <f t="array" ref="N73">IFERROR(_xlfn.XLOOKUP($B73,'Brondata Energie'!$A$31:$A$35,_xlfn.XLOOKUP(Berekeningen!N$68,'Brondata Energie'!$D$30:$O$30,'Brondata Energie'!$D$31:$O$35)),NA())</f>
        <v>#N/A</v>
      </c>
    </row>
    <row r="74" spans="1:17">
      <c r="B74" s="35" t="s">
        <v>545</v>
      </c>
      <c r="C74" s="25" cm="1">
        <f t="array" ref="C74">IFERROR(_xlfn.XLOOKUP($B$74,'Brondata Energie'!$C$31:$C$36,_xlfn.XLOOKUP(Berekeningen!C$68,'Brondata Energie'!$D$30:$O$30,'Brondata Energie'!$D$31:$O$36)),NA())</f>
        <v>2050</v>
      </c>
      <c r="D74" s="25" cm="1">
        <f t="array" ref="D74">IFERROR(_xlfn.XLOOKUP($B$74,'Brondata Energie'!$C$31:$C$36,_xlfn.XLOOKUP(Berekeningen!D$68,'Brondata Energie'!$D$30:$O$30,'Brondata Energie'!$D$31:$O$36)),NA())</f>
        <v>2822</v>
      </c>
      <c r="E74" s="25" cm="1">
        <f t="array" ref="E74">IFERROR(_xlfn.XLOOKUP($B$74,'Brondata Energie'!$C$31:$C$36,_xlfn.XLOOKUP(Berekeningen!E$68,'Brondata Energie'!$D$30:$O$30,'Brondata Energie'!$D$31:$O$36)),NA())</f>
        <v>3502</v>
      </c>
      <c r="F74" s="25" cm="1">
        <f t="array" ref="F74">IFERROR(_xlfn.XLOOKUP($B$74,'Brondata Energie'!$C$31:$C$36,_xlfn.XLOOKUP(Berekeningen!F$68,'Brondata Energie'!$D$30:$O$30,'Brondata Energie'!$D$31:$O$36)),NA())</f>
        <v>4397</v>
      </c>
      <c r="G74" s="25" cm="1">
        <f t="array" ref="G74">IFERROR(_xlfn.XLOOKUP($B$74,'Brondata Energie'!$C$31:$C$36,_xlfn.XLOOKUP(Berekeningen!G$68,'Brondata Energie'!$D$30:$O$30,'Brondata Energie'!$D$31:$O$36)),NA())</f>
        <v>5325</v>
      </c>
      <c r="H74" s="25" t="e" cm="1">
        <f t="array" ref="H74">IFERROR(_xlfn.XLOOKUP($B$74,'Brondata Energie'!$C$31:$C$36,_xlfn.XLOOKUP(Berekeningen!H$68,'Brondata Energie'!$D$30:$O$30,'Brondata Energie'!$D$31:$O$36)),NA())</f>
        <v>#N/A</v>
      </c>
      <c r="I74" s="25" t="e" cm="1">
        <f t="array" ref="I74">IFERROR(_xlfn.XLOOKUP($B$74,'Brondata Energie'!$C$31:$C$36,_xlfn.XLOOKUP(Berekeningen!I$68,'Brondata Energie'!$D$30:$O$30,'Brondata Energie'!$D$31:$O$36)),NA())</f>
        <v>#N/A</v>
      </c>
      <c r="J74" s="25" t="e" cm="1">
        <f t="array" ref="J74">IFERROR(_xlfn.XLOOKUP($B$74,'Brondata Energie'!$C$31:$C$36,_xlfn.XLOOKUP(Berekeningen!J$68,'Brondata Energie'!$D$30:$O$30,'Brondata Energie'!$D$31:$O$36)),NA())</f>
        <v>#N/A</v>
      </c>
      <c r="K74" s="25" t="e" cm="1">
        <f t="array" ref="K74">IFERROR(_xlfn.XLOOKUP($B$74,'Brondata Energie'!$C$31:$C$36,_xlfn.XLOOKUP(Berekeningen!K$68,'Brondata Energie'!$D$30:$O$30,'Brondata Energie'!$D$31:$O$36)),NA())</f>
        <v>#N/A</v>
      </c>
      <c r="L74" s="25" t="e" cm="1">
        <f t="array" ref="L74">IFERROR(_xlfn.XLOOKUP($B$74,'Brondata Energie'!$C$31:$C$36,_xlfn.XLOOKUP(Berekeningen!L$68,'Brondata Energie'!$D$30:$O$30,'Brondata Energie'!$D$31:$O$36)),NA())</f>
        <v>#N/A</v>
      </c>
      <c r="M74" s="25" t="e" cm="1">
        <f t="array" ref="M74">IFERROR(_xlfn.XLOOKUP($B$74,'Brondata Energie'!$C$31:$C$36,_xlfn.XLOOKUP(Berekeningen!M$68,'Brondata Energie'!$D$30:$O$30,'Brondata Energie'!$D$31:$O$36)),NA())</f>
        <v>#N/A</v>
      </c>
      <c r="N74" s="25" t="e" cm="1">
        <f t="array" ref="N74">IFERROR(_xlfn.XLOOKUP($B$74,'Brondata Energie'!$C$31:$C$36,_xlfn.XLOOKUP(Berekeningen!N$68,'Brondata Energie'!$D$30:$O$30,'Brondata Energie'!$D$31:$O$36)),NA())</f>
        <v>#N/A</v>
      </c>
    </row>
    <row r="75" spans="1:17">
      <c r="B75" s="35" t="s">
        <v>546</v>
      </c>
      <c r="C75" s="25"/>
      <c r="D75" s="26">
        <f t="shared" ref="D75:N75" si="15">IF((D74-$C$74)/$C$74=0,NA(),(D74-$C$74)/$C$74)</f>
        <v>0.37658536585365854</v>
      </c>
      <c r="E75" s="26">
        <f t="shared" si="15"/>
        <v>0.70829268292682923</v>
      </c>
      <c r="F75" s="26">
        <f t="shared" si="15"/>
        <v>1.1448780487804877</v>
      </c>
      <c r="G75" s="26">
        <f t="shared" si="15"/>
        <v>1.5975609756097562</v>
      </c>
      <c r="H75" s="26" t="e">
        <f t="shared" si="15"/>
        <v>#N/A</v>
      </c>
      <c r="I75" s="26" t="e">
        <f t="shared" si="15"/>
        <v>#N/A</v>
      </c>
      <c r="J75" s="26" t="e">
        <f t="shared" si="15"/>
        <v>#N/A</v>
      </c>
      <c r="K75" s="26" t="e">
        <f t="shared" si="15"/>
        <v>#N/A</v>
      </c>
      <c r="L75" s="26" t="e">
        <f t="shared" si="15"/>
        <v>#N/A</v>
      </c>
      <c r="M75" s="26" t="e">
        <f t="shared" si="15"/>
        <v>#N/A</v>
      </c>
      <c r="N75" s="26" t="e">
        <f t="shared" si="15"/>
        <v>#N/A</v>
      </c>
    </row>
    <row r="77" spans="1:17" ht="23.4">
      <c r="B77" s="158" t="s">
        <v>121</v>
      </c>
      <c r="C77" s="158"/>
      <c r="D77" s="158"/>
      <c r="E77" s="158"/>
      <c r="F77" s="158"/>
      <c r="G77" s="158"/>
      <c r="H77" s="158"/>
      <c r="I77" s="158"/>
      <c r="J77" s="158"/>
      <c r="K77" s="158"/>
      <c r="L77" s="158"/>
      <c r="M77" s="158"/>
      <c r="N77" s="158"/>
    </row>
    <row r="79" spans="1:17">
      <c r="B79" s="19" t="s">
        <v>183</v>
      </c>
      <c r="C79" s="36">
        <v>2019</v>
      </c>
      <c r="D79" s="36">
        <v>2020</v>
      </c>
      <c r="E79" s="36">
        <v>2021</v>
      </c>
      <c r="F79" s="36">
        <v>2022</v>
      </c>
      <c r="G79" s="36">
        <v>2023</v>
      </c>
      <c r="H79" s="36">
        <v>2024</v>
      </c>
      <c r="I79" s="36">
        <v>2025</v>
      </c>
      <c r="J79" s="36">
        <v>2026</v>
      </c>
      <c r="K79" s="36">
        <v>2027</v>
      </c>
      <c r="L79" s="36">
        <v>2028</v>
      </c>
      <c r="M79" s="36">
        <v>2029</v>
      </c>
      <c r="N79" s="36">
        <v>2030</v>
      </c>
    </row>
    <row r="80" spans="1:17">
      <c r="B80" s="94" t="s">
        <v>61</v>
      </c>
      <c r="C80" s="93" cm="1">
        <f t="array" ref="C80">IFERROR(_xlfn.XLOOKUP($B80,'Brondata Mobiliteit'!$B$9:$B$19,_xlfn.XLOOKUP(Berekeningen!C$79,'Brondata Mobiliteit'!$C$8:$N$8,'Brondata Mobiliteit'!$C$9:$N$19)),NA())</f>
        <v>18834</v>
      </c>
      <c r="D80" s="93" cm="1">
        <f t="array" ref="D80">IFERROR(_xlfn.XLOOKUP($B80,'Brondata Mobiliteit'!$B$9:$B$19,_xlfn.XLOOKUP(Berekeningen!D$79,'Brondata Mobiliteit'!$C$8:$N$8,'Brondata Mobiliteit'!$C$9:$N$19)),NA())</f>
        <v>19266</v>
      </c>
      <c r="E80" s="93" cm="1">
        <f t="array" ref="E80">IFERROR(_xlfn.XLOOKUP($B80,'Brondata Mobiliteit'!$B$9:$B$19,_xlfn.XLOOKUP(Berekeningen!E$79,'Brondata Mobiliteit'!$C$8:$N$8,'Brondata Mobiliteit'!$C$9:$N$19)),NA())</f>
        <v>19575</v>
      </c>
      <c r="F80" s="93" cm="1">
        <f t="array" ref="F80">IFERROR(_xlfn.XLOOKUP($B80,'Brondata Mobiliteit'!$B$9:$B$19,_xlfn.XLOOKUP(Berekeningen!F$79,'Brondata Mobiliteit'!$C$8:$N$8,'Brondata Mobiliteit'!$C$9:$N$19)),NA())</f>
        <v>19950</v>
      </c>
      <c r="G80" s="93" cm="1">
        <f t="array" ref="G80">IFERROR(_xlfn.XLOOKUP($B80,'Brondata Mobiliteit'!$B$9:$B$19,_xlfn.XLOOKUP(Berekeningen!G$79,'Brondata Mobiliteit'!$C$8:$N$8,'Brondata Mobiliteit'!$C$9:$N$19)),NA())</f>
        <v>20120</v>
      </c>
      <c r="H80" s="93" t="e" cm="1">
        <f t="array" ref="H80">IFERROR(_xlfn.XLOOKUP($B80,'Brondata Mobiliteit'!$B$9:$B$19,_xlfn.XLOOKUP(Berekeningen!H$79,'Brondata Mobiliteit'!$C$8:$N$8,'Brondata Mobiliteit'!$C$9:$N$19)),NA())</f>
        <v>#N/A</v>
      </c>
      <c r="I80" s="93" t="e" cm="1">
        <f t="array" ref="I80">IFERROR(_xlfn.XLOOKUP($B80,'Brondata Mobiliteit'!$B$9:$B$19,_xlfn.XLOOKUP(Berekeningen!I$79,'Brondata Mobiliteit'!$C$8:$N$8,'Brondata Mobiliteit'!$C$9:$N$19)),NA())</f>
        <v>#N/A</v>
      </c>
      <c r="J80" s="93" t="e" cm="1">
        <f t="array" ref="J80">IFERROR(_xlfn.XLOOKUP($B80,'Brondata Mobiliteit'!$B$9:$B$19,_xlfn.XLOOKUP(Berekeningen!J$79,'Brondata Mobiliteit'!$C$8:$N$8,'Brondata Mobiliteit'!$C$9:$N$19)),NA())</f>
        <v>#N/A</v>
      </c>
      <c r="K80" s="93" t="e" cm="1">
        <f t="array" ref="K80">IFERROR(_xlfn.XLOOKUP($B80,'Brondata Mobiliteit'!$B$9:$B$19,_xlfn.XLOOKUP(Berekeningen!K$79,'Brondata Mobiliteit'!$C$8:$N$8,'Brondata Mobiliteit'!$C$9:$N$19)),NA())</f>
        <v>#N/A</v>
      </c>
      <c r="L80" s="93" t="e" cm="1">
        <f t="array" ref="L80">IFERROR(_xlfn.XLOOKUP($B80,'Brondata Mobiliteit'!$B$9:$B$19,_xlfn.XLOOKUP(Berekeningen!L$79,'Brondata Mobiliteit'!$C$8:$N$8,'Brondata Mobiliteit'!$C$9:$N$19)),NA())</f>
        <v>#N/A</v>
      </c>
      <c r="M80" s="93" t="e" cm="1">
        <f t="array" ref="M80">IFERROR(_xlfn.XLOOKUP($B80,'Brondata Mobiliteit'!$B$9:$B$19,_xlfn.XLOOKUP(Berekeningen!M$79,'Brondata Mobiliteit'!$C$8:$N$8,'Brondata Mobiliteit'!$C$9:$N$19)),NA())</f>
        <v>#N/A</v>
      </c>
      <c r="N80" s="93" t="e" cm="1">
        <f t="array" ref="N80">IFERROR(_xlfn.XLOOKUP($B80,'Brondata Mobiliteit'!$B$9:$B$19,_xlfn.XLOOKUP(Berekeningen!N$79,'Brondata Mobiliteit'!$C$8:$N$8,'Brondata Mobiliteit'!$C$9:$N$19)),NA())</f>
        <v>#N/A</v>
      </c>
    </row>
    <row r="81" spans="2:14">
      <c r="B81" s="94" t="s">
        <v>62</v>
      </c>
      <c r="C81" s="93" cm="1">
        <f t="array" ref="C81">IFERROR(_xlfn.XLOOKUP($B81,'Brondata Mobiliteit'!$B$9:$B$19,_xlfn.XLOOKUP(Berekeningen!C$79,'Brondata Mobiliteit'!$C$8:$N$8,'Brondata Mobiliteit'!$C$9:$N$19)),NA())</f>
        <v>2706</v>
      </c>
      <c r="D81" s="93" cm="1">
        <f t="array" ref="D81">IFERROR(_xlfn.XLOOKUP($B81,'Brondata Mobiliteit'!$B$9:$B$19,_xlfn.XLOOKUP(Berekeningen!D$79,'Brondata Mobiliteit'!$C$8:$N$8,'Brondata Mobiliteit'!$C$9:$N$19)),NA())</f>
        <v>2780</v>
      </c>
      <c r="E81" s="93" cm="1">
        <f t="array" ref="E81">IFERROR(_xlfn.XLOOKUP($B81,'Brondata Mobiliteit'!$B$9:$B$19,_xlfn.XLOOKUP(Berekeningen!E$79,'Brondata Mobiliteit'!$C$8:$N$8,'Brondata Mobiliteit'!$C$9:$N$19)),NA())</f>
        <v>2856</v>
      </c>
      <c r="F81" s="93" cm="1">
        <f t="array" ref="F81">IFERROR(_xlfn.XLOOKUP($B81,'Brondata Mobiliteit'!$B$9:$B$19,_xlfn.XLOOKUP(Berekeningen!F$79,'Brondata Mobiliteit'!$C$8:$N$8,'Brondata Mobiliteit'!$C$9:$N$19)),NA())</f>
        <v>2928</v>
      </c>
      <c r="G81" s="93" cm="1">
        <f t="array" ref="G81">IFERROR(_xlfn.XLOOKUP($B81,'Brondata Mobiliteit'!$B$9:$B$19,_xlfn.XLOOKUP(Berekeningen!G$79,'Brondata Mobiliteit'!$C$8:$N$8,'Brondata Mobiliteit'!$C$9:$N$19)),NA())</f>
        <v>2928</v>
      </c>
      <c r="H81" s="93" t="e" cm="1">
        <f t="array" ref="H81">IFERROR(_xlfn.XLOOKUP($B81,'Brondata Mobiliteit'!$B$9:$B$19,_xlfn.XLOOKUP(Berekeningen!H$79,'Brondata Mobiliteit'!$C$8:$N$8,'Brondata Mobiliteit'!$C$9:$N$19)),NA())</f>
        <v>#N/A</v>
      </c>
      <c r="I81" s="93" t="e" cm="1">
        <f t="array" ref="I81">IFERROR(_xlfn.XLOOKUP($B81,'Brondata Mobiliteit'!$B$9:$B$19,_xlfn.XLOOKUP(Berekeningen!I$79,'Brondata Mobiliteit'!$C$8:$N$8,'Brondata Mobiliteit'!$C$9:$N$19)),NA())</f>
        <v>#N/A</v>
      </c>
      <c r="J81" s="93" t="e" cm="1">
        <f t="array" ref="J81">IFERROR(_xlfn.XLOOKUP($B81,'Brondata Mobiliteit'!$B$9:$B$19,_xlfn.XLOOKUP(Berekeningen!J$79,'Brondata Mobiliteit'!$C$8:$N$8,'Brondata Mobiliteit'!$C$9:$N$19)),NA())</f>
        <v>#N/A</v>
      </c>
      <c r="K81" s="93" t="e" cm="1">
        <f t="array" ref="K81">IFERROR(_xlfn.XLOOKUP($B81,'Brondata Mobiliteit'!$B$9:$B$19,_xlfn.XLOOKUP(Berekeningen!K$79,'Brondata Mobiliteit'!$C$8:$N$8,'Brondata Mobiliteit'!$C$9:$N$19)),NA())</f>
        <v>#N/A</v>
      </c>
      <c r="L81" s="93" t="e" cm="1">
        <f t="array" ref="L81">IFERROR(_xlfn.XLOOKUP($B81,'Brondata Mobiliteit'!$B$9:$B$19,_xlfn.XLOOKUP(Berekeningen!L$79,'Brondata Mobiliteit'!$C$8:$N$8,'Brondata Mobiliteit'!$C$9:$N$19)),NA())</f>
        <v>#N/A</v>
      </c>
      <c r="M81" s="93" t="e" cm="1">
        <f t="array" ref="M81">IFERROR(_xlfn.XLOOKUP($B81,'Brondata Mobiliteit'!$B$9:$B$19,_xlfn.XLOOKUP(Berekeningen!M$79,'Brondata Mobiliteit'!$C$8:$N$8,'Brondata Mobiliteit'!$C$9:$N$19)),NA())</f>
        <v>#N/A</v>
      </c>
      <c r="N81" s="93" t="e" cm="1">
        <f t="array" ref="N81">IFERROR(_xlfn.XLOOKUP($B81,'Brondata Mobiliteit'!$B$9:$B$19,_xlfn.XLOOKUP(Berekeningen!N$79,'Brondata Mobiliteit'!$C$8:$N$8,'Brondata Mobiliteit'!$C$9:$N$19)),NA())</f>
        <v>#N/A</v>
      </c>
    </row>
    <row r="82" spans="2:14">
      <c r="B82" s="94" t="s">
        <v>63</v>
      </c>
      <c r="C82" s="93" cm="1">
        <f t="array" ref="C82">IFERROR(_xlfn.XLOOKUP($B82,'Brondata Mobiliteit'!$B$9:$B$19,_xlfn.XLOOKUP(Berekeningen!C$79,'Brondata Mobiliteit'!$C$8:$N$8,'Brondata Mobiliteit'!$C$9:$N$19)),NA())</f>
        <v>211</v>
      </c>
      <c r="D82" s="93" cm="1">
        <f t="array" ref="D82">IFERROR(_xlfn.XLOOKUP($B82,'Brondata Mobiliteit'!$B$9:$B$19,_xlfn.XLOOKUP(Berekeningen!D$79,'Brondata Mobiliteit'!$C$8:$N$8,'Brondata Mobiliteit'!$C$9:$N$19)),NA())</f>
        <v>337</v>
      </c>
      <c r="E82" s="93" cm="1">
        <f t="array" ref="E82">IFERROR(_xlfn.XLOOKUP($B82,'Brondata Mobiliteit'!$B$9:$B$19,_xlfn.XLOOKUP(Berekeningen!E$79,'Brondata Mobiliteit'!$C$8:$N$8,'Brondata Mobiliteit'!$C$9:$N$19)),NA())</f>
        <v>503</v>
      </c>
      <c r="F82" s="93" cm="1">
        <f t="array" ref="F82">IFERROR(_xlfn.XLOOKUP($B82,'Brondata Mobiliteit'!$B$9:$B$19,_xlfn.XLOOKUP(Berekeningen!F$79,'Brondata Mobiliteit'!$C$8:$N$8,'Brondata Mobiliteit'!$C$9:$N$19)),NA())</f>
        <v>672</v>
      </c>
      <c r="G82" s="93" cm="1">
        <f t="array" ref="G82">IFERROR(_xlfn.XLOOKUP($B82,'Brondata Mobiliteit'!$B$9:$B$19,_xlfn.XLOOKUP(Berekeningen!G$79,'Brondata Mobiliteit'!$C$8:$N$8,'Brondata Mobiliteit'!$C$9:$N$19)),NA())</f>
        <v>859</v>
      </c>
      <c r="H82" s="93" t="e" cm="1">
        <f t="array" ref="H82">IFERROR(_xlfn.XLOOKUP($B82,'Brondata Mobiliteit'!$B$9:$B$19,_xlfn.XLOOKUP(Berekeningen!H$79,'Brondata Mobiliteit'!$C$8:$N$8,'Brondata Mobiliteit'!$C$9:$N$19)),NA())</f>
        <v>#N/A</v>
      </c>
      <c r="I82" s="93" t="e" cm="1">
        <f t="array" ref="I82">IFERROR(_xlfn.XLOOKUP($B82,'Brondata Mobiliteit'!$B$9:$B$19,_xlfn.XLOOKUP(Berekeningen!I$79,'Brondata Mobiliteit'!$C$8:$N$8,'Brondata Mobiliteit'!$C$9:$N$19)),NA())</f>
        <v>#N/A</v>
      </c>
      <c r="J82" s="93" t="e" cm="1">
        <f t="array" ref="J82">IFERROR(_xlfn.XLOOKUP($B82,'Brondata Mobiliteit'!$B$9:$B$19,_xlfn.XLOOKUP(Berekeningen!J$79,'Brondata Mobiliteit'!$C$8:$N$8,'Brondata Mobiliteit'!$C$9:$N$19)),NA())</f>
        <v>#N/A</v>
      </c>
      <c r="K82" s="93" t="e" cm="1">
        <f t="array" ref="K82">IFERROR(_xlfn.XLOOKUP($B82,'Brondata Mobiliteit'!$B$9:$B$19,_xlfn.XLOOKUP(Berekeningen!K$79,'Brondata Mobiliteit'!$C$8:$N$8,'Brondata Mobiliteit'!$C$9:$N$19)),NA())</f>
        <v>#N/A</v>
      </c>
      <c r="L82" s="93" t="e" cm="1">
        <f t="array" ref="L82">IFERROR(_xlfn.XLOOKUP($B82,'Brondata Mobiliteit'!$B$9:$B$19,_xlfn.XLOOKUP(Berekeningen!L$79,'Brondata Mobiliteit'!$C$8:$N$8,'Brondata Mobiliteit'!$C$9:$N$19)),NA())</f>
        <v>#N/A</v>
      </c>
      <c r="M82" s="93" t="e" cm="1">
        <f t="array" ref="M82">IFERROR(_xlfn.XLOOKUP($B82,'Brondata Mobiliteit'!$B$9:$B$19,_xlfn.XLOOKUP(Berekeningen!M$79,'Brondata Mobiliteit'!$C$8:$N$8,'Brondata Mobiliteit'!$C$9:$N$19)),NA())</f>
        <v>#N/A</v>
      </c>
      <c r="N82" s="93" t="e" cm="1">
        <f t="array" ref="N82">IFERROR(_xlfn.XLOOKUP($B82,'Brondata Mobiliteit'!$B$9:$B$19,_xlfn.XLOOKUP(Berekeningen!N$79,'Brondata Mobiliteit'!$C$8:$N$8,'Brondata Mobiliteit'!$C$9:$N$19)),NA())</f>
        <v>#N/A</v>
      </c>
    </row>
    <row r="83" spans="2:14">
      <c r="B83" s="94" t="s">
        <v>64</v>
      </c>
      <c r="C83" s="93" cm="1">
        <f t="array" ref="C83">IFERROR(_xlfn.XLOOKUP($B83,'Brondata Mobiliteit'!$B$9:$B$19,_xlfn.XLOOKUP(Berekeningen!C$79,'Brondata Mobiliteit'!$C$8:$N$8,'Brondata Mobiliteit'!$C$9:$N$19)),NA())</f>
        <v>156</v>
      </c>
      <c r="D83" s="93" cm="1">
        <f t="array" ref="D83">IFERROR(_xlfn.XLOOKUP($B83,'Brondata Mobiliteit'!$B$9:$B$19,_xlfn.XLOOKUP(Berekeningen!D$79,'Brondata Mobiliteit'!$C$8:$N$8,'Brondata Mobiliteit'!$C$9:$N$19)),NA())</f>
        <v>179</v>
      </c>
      <c r="E83" s="93" cm="1">
        <f t="array" ref="E83">IFERROR(_xlfn.XLOOKUP($B83,'Brondata Mobiliteit'!$B$9:$B$19,_xlfn.XLOOKUP(Berekeningen!E$79,'Brondata Mobiliteit'!$C$8:$N$8,'Brondata Mobiliteit'!$C$9:$N$19)),NA())</f>
        <v>279</v>
      </c>
      <c r="F83" s="93" cm="1">
        <f t="array" ref="F83">IFERROR(_xlfn.XLOOKUP($B83,'Brondata Mobiliteit'!$B$9:$B$19,_xlfn.XLOOKUP(Berekeningen!F$79,'Brondata Mobiliteit'!$C$8:$N$8,'Brondata Mobiliteit'!$C$9:$N$19)),NA())</f>
        <v>375</v>
      </c>
      <c r="G83" s="93" cm="1">
        <f t="array" ref="G83">IFERROR(_xlfn.XLOOKUP($B83,'Brondata Mobiliteit'!$B$9:$B$19,_xlfn.XLOOKUP(Berekeningen!G$79,'Brondata Mobiliteit'!$C$8:$N$8,'Brondata Mobiliteit'!$C$9:$N$19)),NA())</f>
        <v>506</v>
      </c>
      <c r="H83" s="93" t="e" cm="1">
        <f t="array" ref="H83">IFERROR(_xlfn.XLOOKUP($B83,'Brondata Mobiliteit'!$B$9:$B$19,_xlfn.XLOOKUP(Berekeningen!H$79,'Brondata Mobiliteit'!$C$8:$N$8,'Brondata Mobiliteit'!$C$9:$N$19)),NA())</f>
        <v>#N/A</v>
      </c>
      <c r="I83" s="93" t="e" cm="1">
        <f t="array" ref="I83">IFERROR(_xlfn.XLOOKUP($B83,'Brondata Mobiliteit'!$B$9:$B$19,_xlfn.XLOOKUP(Berekeningen!I$79,'Brondata Mobiliteit'!$C$8:$N$8,'Brondata Mobiliteit'!$C$9:$N$19)),NA())</f>
        <v>#N/A</v>
      </c>
      <c r="J83" s="93" t="e" cm="1">
        <f t="array" ref="J83">IFERROR(_xlfn.XLOOKUP($B83,'Brondata Mobiliteit'!$B$9:$B$19,_xlfn.XLOOKUP(Berekeningen!J$79,'Brondata Mobiliteit'!$C$8:$N$8,'Brondata Mobiliteit'!$C$9:$N$19)),NA())</f>
        <v>#N/A</v>
      </c>
      <c r="K83" s="93" t="e" cm="1">
        <f t="array" ref="K83">IFERROR(_xlfn.XLOOKUP($B83,'Brondata Mobiliteit'!$B$9:$B$19,_xlfn.XLOOKUP(Berekeningen!K$79,'Brondata Mobiliteit'!$C$8:$N$8,'Brondata Mobiliteit'!$C$9:$N$19)),NA())</f>
        <v>#N/A</v>
      </c>
      <c r="L83" s="93" t="e" cm="1">
        <f t="array" ref="L83">IFERROR(_xlfn.XLOOKUP($B83,'Brondata Mobiliteit'!$B$9:$B$19,_xlfn.XLOOKUP(Berekeningen!L$79,'Brondata Mobiliteit'!$C$8:$N$8,'Brondata Mobiliteit'!$C$9:$N$19)),NA())</f>
        <v>#N/A</v>
      </c>
      <c r="M83" s="93" t="e" cm="1">
        <f t="array" ref="M83">IFERROR(_xlfn.XLOOKUP($B83,'Brondata Mobiliteit'!$B$9:$B$19,_xlfn.XLOOKUP(Berekeningen!M$79,'Brondata Mobiliteit'!$C$8:$N$8,'Brondata Mobiliteit'!$C$9:$N$19)),NA())</f>
        <v>#N/A</v>
      </c>
      <c r="N83" s="93" t="e" cm="1">
        <f t="array" ref="N83">IFERROR(_xlfn.XLOOKUP($B83,'Brondata Mobiliteit'!$B$9:$B$19,_xlfn.XLOOKUP(Berekeningen!N$79,'Brondata Mobiliteit'!$C$8:$N$8,'Brondata Mobiliteit'!$C$9:$N$19)),NA())</f>
        <v>#N/A</v>
      </c>
    </row>
    <row r="84" spans="2:14">
      <c r="B84" s="94" t="s">
        <v>65</v>
      </c>
      <c r="C84" s="93" cm="1">
        <f t="array" ref="C84">IFERROR(_xlfn.XLOOKUP($B84,'Brondata Mobiliteit'!$B$9:$B$19,_xlfn.XLOOKUP(Berekeningen!C$79,'Brondata Mobiliteit'!$C$8:$N$8,'Brondata Mobiliteit'!$C$9:$N$19)),NA())</f>
        <v>0</v>
      </c>
      <c r="D84" s="93" cm="1">
        <f t="array" ref="D84">IFERROR(_xlfn.XLOOKUP($B84,'Brondata Mobiliteit'!$B$9:$B$19,_xlfn.XLOOKUP(Berekeningen!D$79,'Brondata Mobiliteit'!$C$8:$N$8,'Brondata Mobiliteit'!$C$9:$N$19)),NA())</f>
        <v>0</v>
      </c>
      <c r="E84" s="93" cm="1">
        <f t="array" ref="E84">IFERROR(_xlfn.XLOOKUP($B84,'Brondata Mobiliteit'!$B$9:$B$19,_xlfn.XLOOKUP(Berekeningen!E$79,'Brondata Mobiliteit'!$C$8:$N$8,'Brondata Mobiliteit'!$C$9:$N$19)),NA())</f>
        <v>0</v>
      </c>
      <c r="F84" s="93" cm="1">
        <f t="array" ref="F84">IFERROR(_xlfn.XLOOKUP($B84,'Brondata Mobiliteit'!$B$9:$B$19,_xlfn.XLOOKUP(Berekeningen!F$79,'Brondata Mobiliteit'!$C$8:$N$8,'Brondata Mobiliteit'!$C$9:$N$19)),NA())</f>
        <v>1</v>
      </c>
      <c r="G84" s="93" cm="1">
        <f t="array" ref="G84">IFERROR(_xlfn.XLOOKUP($B84,'Brondata Mobiliteit'!$B$9:$B$19,_xlfn.XLOOKUP(Berekeningen!G$79,'Brondata Mobiliteit'!$C$8:$N$8,'Brondata Mobiliteit'!$C$9:$N$19)),NA())</f>
        <v>1</v>
      </c>
      <c r="H84" s="93" t="e" cm="1">
        <f t="array" ref="H84">IFERROR(_xlfn.XLOOKUP($B84,'Brondata Mobiliteit'!$B$9:$B$19,_xlfn.XLOOKUP(Berekeningen!H$79,'Brondata Mobiliteit'!$C$8:$N$8,'Brondata Mobiliteit'!$C$9:$N$19)),NA())</f>
        <v>#N/A</v>
      </c>
      <c r="I84" s="93" t="e" cm="1">
        <f t="array" ref="I84">IFERROR(_xlfn.XLOOKUP($B84,'Brondata Mobiliteit'!$B$9:$B$19,_xlfn.XLOOKUP(Berekeningen!I$79,'Brondata Mobiliteit'!$C$8:$N$8,'Brondata Mobiliteit'!$C$9:$N$19)),NA())</f>
        <v>#N/A</v>
      </c>
      <c r="J84" s="93" t="e" cm="1">
        <f t="array" ref="J84">IFERROR(_xlfn.XLOOKUP($B84,'Brondata Mobiliteit'!$B$9:$B$19,_xlfn.XLOOKUP(Berekeningen!J$79,'Brondata Mobiliteit'!$C$8:$N$8,'Brondata Mobiliteit'!$C$9:$N$19)),NA())</f>
        <v>#N/A</v>
      </c>
      <c r="K84" s="93" t="e" cm="1">
        <f t="array" ref="K84">IFERROR(_xlfn.XLOOKUP($B84,'Brondata Mobiliteit'!$B$9:$B$19,_xlfn.XLOOKUP(Berekeningen!K$79,'Brondata Mobiliteit'!$C$8:$N$8,'Brondata Mobiliteit'!$C$9:$N$19)),NA())</f>
        <v>#N/A</v>
      </c>
      <c r="L84" s="93" t="e" cm="1">
        <f t="array" ref="L84">IFERROR(_xlfn.XLOOKUP($B84,'Brondata Mobiliteit'!$B$9:$B$19,_xlfn.XLOOKUP(Berekeningen!L$79,'Brondata Mobiliteit'!$C$8:$N$8,'Brondata Mobiliteit'!$C$9:$N$19)),NA())</f>
        <v>#N/A</v>
      </c>
      <c r="M84" s="93" t="e" cm="1">
        <f t="array" ref="M84">IFERROR(_xlfn.XLOOKUP($B84,'Brondata Mobiliteit'!$B$9:$B$19,_xlfn.XLOOKUP(Berekeningen!M$79,'Brondata Mobiliteit'!$C$8:$N$8,'Brondata Mobiliteit'!$C$9:$N$19)),NA())</f>
        <v>#N/A</v>
      </c>
      <c r="N84" s="93" t="e" cm="1">
        <f t="array" ref="N84">IFERROR(_xlfn.XLOOKUP($B84,'Brondata Mobiliteit'!$B$9:$B$19,_xlfn.XLOOKUP(Berekeningen!N$79,'Brondata Mobiliteit'!$C$8:$N$8,'Brondata Mobiliteit'!$C$9:$N$19)),NA())</f>
        <v>#N/A</v>
      </c>
    </row>
    <row r="85" spans="2:14">
      <c r="B85" s="94" t="s">
        <v>123</v>
      </c>
      <c r="C85" s="93" cm="1">
        <f t="array" ref="C85">IFERROR(_xlfn.XLOOKUP($B85,'Brondata Mobiliteit'!$B$9:$B$19,_xlfn.XLOOKUP(Berekeningen!C$79,'Brondata Mobiliteit'!$C$8:$N$8,'Brondata Mobiliteit'!$C$9:$N$19)),NA())</f>
        <v>22</v>
      </c>
      <c r="D85" s="93" cm="1">
        <f t="array" ref="D85">IFERROR(_xlfn.XLOOKUP($B85,'Brondata Mobiliteit'!$B$9:$B$19,_xlfn.XLOOKUP(Berekeningen!D$79,'Brondata Mobiliteit'!$C$8:$N$8,'Brondata Mobiliteit'!$C$9:$N$19)),NA())</f>
        <v>20</v>
      </c>
      <c r="E85" s="93" cm="1">
        <f t="array" ref="E85">IFERROR(_xlfn.XLOOKUP($B85,'Brondata Mobiliteit'!$B$9:$B$19,_xlfn.XLOOKUP(Berekeningen!E$79,'Brondata Mobiliteit'!$C$8:$N$8,'Brondata Mobiliteit'!$C$9:$N$19)),NA())</f>
        <v>16</v>
      </c>
      <c r="F85" s="93" cm="1">
        <f t="array" ref="F85">IFERROR(_xlfn.XLOOKUP($B85,'Brondata Mobiliteit'!$B$9:$B$19,_xlfn.XLOOKUP(Berekeningen!F$79,'Brondata Mobiliteit'!$C$8:$N$8,'Brondata Mobiliteit'!$C$9:$N$19)),NA())</f>
        <v>17</v>
      </c>
      <c r="G85" s="93" cm="1">
        <f t="array" ref="G85">IFERROR(_xlfn.XLOOKUP($B85,'Brondata Mobiliteit'!$B$9:$B$19,_xlfn.XLOOKUP(Berekeningen!G$79,'Brondata Mobiliteit'!$C$8:$N$8,'Brondata Mobiliteit'!$C$9:$N$19)),NA())</f>
        <v>5</v>
      </c>
      <c r="H85" s="93" t="e" cm="1">
        <f t="array" ref="H85">IFERROR(_xlfn.XLOOKUP($B85,'Brondata Mobiliteit'!$B$9:$B$19,_xlfn.XLOOKUP(Berekeningen!H$79,'Brondata Mobiliteit'!$C$8:$N$8,'Brondata Mobiliteit'!$C$9:$N$19)),NA())</f>
        <v>#N/A</v>
      </c>
      <c r="I85" s="93" t="e" cm="1">
        <f t="array" ref="I85">IFERROR(_xlfn.XLOOKUP($B85,'Brondata Mobiliteit'!$B$9:$B$19,_xlfn.XLOOKUP(Berekeningen!I$79,'Brondata Mobiliteit'!$C$8:$N$8,'Brondata Mobiliteit'!$C$9:$N$19)),NA())</f>
        <v>#N/A</v>
      </c>
      <c r="J85" s="93" t="e" cm="1">
        <f t="array" ref="J85">IFERROR(_xlfn.XLOOKUP($B85,'Brondata Mobiliteit'!$B$9:$B$19,_xlfn.XLOOKUP(Berekeningen!J$79,'Brondata Mobiliteit'!$C$8:$N$8,'Brondata Mobiliteit'!$C$9:$N$19)),NA())</f>
        <v>#N/A</v>
      </c>
      <c r="K85" s="93" t="e" cm="1">
        <f t="array" ref="K85">IFERROR(_xlfn.XLOOKUP($B85,'Brondata Mobiliteit'!$B$9:$B$19,_xlfn.XLOOKUP(Berekeningen!K$79,'Brondata Mobiliteit'!$C$8:$N$8,'Brondata Mobiliteit'!$C$9:$N$19)),NA())</f>
        <v>#N/A</v>
      </c>
      <c r="L85" s="93" t="e" cm="1">
        <f t="array" ref="L85">IFERROR(_xlfn.XLOOKUP($B85,'Brondata Mobiliteit'!$B$9:$B$19,_xlfn.XLOOKUP(Berekeningen!L$79,'Brondata Mobiliteit'!$C$8:$N$8,'Brondata Mobiliteit'!$C$9:$N$19)),NA())</f>
        <v>#N/A</v>
      </c>
      <c r="M85" s="93" t="e" cm="1">
        <f t="array" ref="M85">IFERROR(_xlfn.XLOOKUP($B85,'Brondata Mobiliteit'!$B$9:$B$19,_xlfn.XLOOKUP(Berekeningen!M$79,'Brondata Mobiliteit'!$C$8:$N$8,'Brondata Mobiliteit'!$C$9:$N$19)),NA())</f>
        <v>#N/A</v>
      </c>
      <c r="N85" s="93" t="e" cm="1">
        <f t="array" ref="N85">IFERROR(_xlfn.XLOOKUP($B85,'Brondata Mobiliteit'!$B$9:$B$19,_xlfn.XLOOKUP(Berekeningen!N$79,'Brondata Mobiliteit'!$C$8:$N$8,'Brondata Mobiliteit'!$C$9:$N$19)),NA())</f>
        <v>#N/A</v>
      </c>
    </row>
    <row r="86" spans="2:14">
      <c r="B86" s="95" t="s">
        <v>185</v>
      </c>
      <c r="C86" s="93">
        <f>IF(SUM(C80:C81)=0,NA(),SUM(C80:C81))</f>
        <v>21540</v>
      </c>
      <c r="D86" s="93">
        <f t="shared" ref="D86:N86" si="16">IF(SUM(D80:D81)=0,NA(),SUM(D80:D81))</f>
        <v>22046</v>
      </c>
      <c r="E86" s="93">
        <f t="shared" si="16"/>
        <v>22431</v>
      </c>
      <c r="F86" s="93">
        <f t="shared" si="16"/>
        <v>22878</v>
      </c>
      <c r="G86" s="93">
        <f t="shared" si="16"/>
        <v>23048</v>
      </c>
      <c r="H86" s="93" t="e">
        <f t="shared" si="16"/>
        <v>#N/A</v>
      </c>
      <c r="I86" s="93" t="e">
        <f t="shared" si="16"/>
        <v>#N/A</v>
      </c>
      <c r="J86" s="93" t="e">
        <f t="shared" si="16"/>
        <v>#N/A</v>
      </c>
      <c r="K86" s="93" t="e">
        <f t="shared" si="16"/>
        <v>#N/A</v>
      </c>
      <c r="L86" s="93" t="e">
        <f t="shared" si="16"/>
        <v>#N/A</v>
      </c>
      <c r="M86" s="93" t="e">
        <f t="shared" si="16"/>
        <v>#N/A</v>
      </c>
      <c r="N86" s="93" t="e">
        <f t="shared" si="16"/>
        <v>#N/A</v>
      </c>
    </row>
    <row r="87" spans="2:14">
      <c r="B87" s="94" t="s">
        <v>187</v>
      </c>
      <c r="C87" s="93">
        <f>IF(SUM(C82:C84)=0,NA(),SUM(C82:C84))</f>
        <v>367</v>
      </c>
      <c r="D87" s="93">
        <f t="shared" ref="D87:N87" si="17">IF(SUM(D82:D84)=0,NA(),SUM(D82:D84))</f>
        <v>516</v>
      </c>
      <c r="E87" s="93">
        <f t="shared" si="17"/>
        <v>782</v>
      </c>
      <c r="F87" s="93">
        <f>IF(SUM(F82:F84)=0,NA(),SUM(F82:F84))</f>
        <v>1048</v>
      </c>
      <c r="G87" s="93">
        <f t="shared" si="17"/>
        <v>1366</v>
      </c>
      <c r="H87" s="93" t="e">
        <f t="shared" si="17"/>
        <v>#N/A</v>
      </c>
      <c r="I87" s="93" t="e">
        <f t="shared" si="17"/>
        <v>#N/A</v>
      </c>
      <c r="J87" s="93" t="e">
        <f t="shared" si="17"/>
        <v>#N/A</v>
      </c>
      <c r="K87" s="93" t="e">
        <f t="shared" si="17"/>
        <v>#N/A</v>
      </c>
      <c r="L87" s="93" t="e">
        <f t="shared" si="17"/>
        <v>#N/A</v>
      </c>
      <c r="M87" s="93" t="e">
        <f t="shared" si="17"/>
        <v>#N/A</v>
      </c>
      <c r="N87" s="93" t="e">
        <f t="shared" si="17"/>
        <v>#N/A</v>
      </c>
    </row>
    <row r="88" spans="2:14">
      <c r="B88" s="94" t="s">
        <v>186</v>
      </c>
      <c r="C88" s="93">
        <f>IF((C86-C87)=0,NA(),(C86-C87))</f>
        <v>21173</v>
      </c>
      <c r="D88" s="93">
        <f t="shared" ref="D88:N88" si="18">IF((D86-D87)=0,NA(),(D86-D87))</f>
        <v>21530</v>
      </c>
      <c r="E88" s="93">
        <f t="shared" si="18"/>
        <v>21649</v>
      </c>
      <c r="F88" s="93">
        <f t="shared" si="18"/>
        <v>21830</v>
      </c>
      <c r="G88" s="93">
        <f t="shared" si="18"/>
        <v>21682</v>
      </c>
      <c r="H88" s="93" t="e">
        <f t="shared" si="18"/>
        <v>#N/A</v>
      </c>
      <c r="I88" s="93" t="e">
        <f t="shared" si="18"/>
        <v>#N/A</v>
      </c>
      <c r="J88" s="93" t="e">
        <f t="shared" si="18"/>
        <v>#N/A</v>
      </c>
      <c r="K88" s="93" t="e">
        <f t="shared" si="18"/>
        <v>#N/A</v>
      </c>
      <c r="L88" s="93" t="e">
        <f t="shared" si="18"/>
        <v>#N/A</v>
      </c>
      <c r="M88" s="93" t="e">
        <f t="shared" si="18"/>
        <v>#N/A</v>
      </c>
      <c r="N88" s="93" t="e">
        <f t="shared" si="18"/>
        <v>#N/A</v>
      </c>
    </row>
    <row r="89" spans="2:14">
      <c r="B89" s="94" t="s">
        <v>547</v>
      </c>
      <c r="C89" s="108">
        <f>IF((C87/C80)=0,NA(),(C87/C80))</f>
        <v>1.9486035892534777E-2</v>
      </c>
      <c r="D89" s="108">
        <f t="shared" ref="D89:N89" si="19">IF((D87/D80)=0,NA(),(D87/D80))</f>
        <v>2.6782933665524759E-2</v>
      </c>
      <c r="E89" s="108">
        <f t="shared" si="19"/>
        <v>3.9948914431673054E-2</v>
      </c>
      <c r="F89" s="108">
        <f t="shared" si="19"/>
        <v>5.2531328320802005E-2</v>
      </c>
      <c r="G89" s="108">
        <f t="shared" si="19"/>
        <v>6.7892644135188862E-2</v>
      </c>
      <c r="H89" s="108" t="e">
        <f t="shared" si="19"/>
        <v>#N/A</v>
      </c>
      <c r="I89" s="108" t="e">
        <f t="shared" si="19"/>
        <v>#N/A</v>
      </c>
      <c r="J89" s="108" t="e">
        <f t="shared" si="19"/>
        <v>#N/A</v>
      </c>
      <c r="K89" s="108" t="e">
        <f t="shared" si="19"/>
        <v>#N/A</v>
      </c>
      <c r="L89" s="108" t="e">
        <f t="shared" si="19"/>
        <v>#N/A</v>
      </c>
      <c r="M89" s="108" t="e">
        <f t="shared" si="19"/>
        <v>#N/A</v>
      </c>
      <c r="N89" s="108" t="e">
        <f t="shared" si="19"/>
        <v>#N/A</v>
      </c>
    </row>
    <row r="91" spans="2:14">
      <c r="B91" s="96" t="s">
        <v>184</v>
      </c>
      <c r="C91" s="36">
        <v>2019</v>
      </c>
      <c r="D91" s="36">
        <v>2020</v>
      </c>
      <c r="E91" s="36">
        <v>2021</v>
      </c>
      <c r="F91" s="36">
        <v>2022</v>
      </c>
      <c r="G91" s="36">
        <v>2023</v>
      </c>
      <c r="H91" s="36">
        <v>2024</v>
      </c>
      <c r="I91" s="36">
        <v>2025</v>
      </c>
      <c r="J91" s="36">
        <v>2026</v>
      </c>
      <c r="K91" s="36">
        <v>2027</v>
      </c>
      <c r="L91" s="36">
        <v>2028</v>
      </c>
      <c r="M91" s="36">
        <v>2029</v>
      </c>
      <c r="N91" s="36">
        <v>2030</v>
      </c>
    </row>
    <row r="92" spans="2:14">
      <c r="B92" s="97" t="s">
        <v>67</v>
      </c>
      <c r="C92" s="93" cm="1">
        <f t="array" ref="C92">IFERROR(_xlfn.XLOOKUP($B92,'Brondata Mobiliteit'!$B$9:$B$19,_xlfn.XLOOKUP(Berekeningen!C$91,'Brondata Mobiliteit'!$C$8:$N$8,'Brondata Mobiliteit'!$C$9:$N$19)),NA())</f>
        <v>110</v>
      </c>
      <c r="D92" s="93" cm="1">
        <f t="array" ref="D92">IFERROR(_xlfn.XLOOKUP($B92,'Brondata Mobiliteit'!$B$9:$B$19,_xlfn.XLOOKUP(Berekeningen!D$91,'Brondata Mobiliteit'!$C$8:$N$8,'Brondata Mobiliteit'!$C$9:$N$19)),NA())</f>
        <v>112</v>
      </c>
      <c r="E92" s="93" cm="1">
        <f t="array" ref="E92">IFERROR(_xlfn.XLOOKUP($B92,'Brondata Mobiliteit'!$B$9:$B$19,_xlfn.XLOOKUP(Berekeningen!E$91,'Brondata Mobiliteit'!$C$8:$N$8,'Brondata Mobiliteit'!$C$9:$N$19)),NA())</f>
        <v>134</v>
      </c>
      <c r="F92" s="93" cm="1">
        <f t="array" ref="F92">IFERROR(_xlfn.XLOOKUP($B92,'Brondata Mobiliteit'!$B$9:$B$19,_xlfn.XLOOKUP(Berekeningen!F$91,'Brondata Mobiliteit'!$C$8:$N$8,'Brondata Mobiliteit'!$C$9:$N$19)),NA())</f>
        <v>166</v>
      </c>
      <c r="G92" s="93" cm="1">
        <f t="array" ref="G92">IFERROR(_xlfn.XLOOKUP($B92,'Brondata Mobiliteit'!$B$9:$B$19,_xlfn.XLOOKUP(Berekeningen!G$91,'Brondata Mobiliteit'!$C$8:$N$8,'Brondata Mobiliteit'!$C$9:$N$19)),NA())</f>
        <v>258</v>
      </c>
      <c r="H92" s="93" t="e" cm="1">
        <f t="array" ref="H92">IFERROR(_xlfn.XLOOKUP($B92,'Brondata Mobiliteit'!$B$9:$B$19,_xlfn.XLOOKUP(Berekeningen!H$91,'Brondata Mobiliteit'!$C$8:$N$8,'Brondata Mobiliteit'!$C$9:$N$19)),NA())</f>
        <v>#N/A</v>
      </c>
      <c r="I92" s="93" t="e" cm="1">
        <f t="array" ref="I92">IFERROR(_xlfn.XLOOKUP($B92,'Brondata Mobiliteit'!$B$9:$B$19,_xlfn.XLOOKUP(Berekeningen!I$91,'Brondata Mobiliteit'!$C$8:$N$8,'Brondata Mobiliteit'!$C$9:$N$19)),NA())</f>
        <v>#N/A</v>
      </c>
      <c r="J92" s="93" t="e" cm="1">
        <f t="array" ref="J92">IFERROR(_xlfn.XLOOKUP($B92,'Brondata Mobiliteit'!$B$9:$B$19,_xlfn.XLOOKUP(Berekeningen!J$91,'Brondata Mobiliteit'!$C$8:$N$8,'Brondata Mobiliteit'!$C$9:$N$19)),NA())</f>
        <v>#N/A</v>
      </c>
      <c r="K92" s="93" t="e" cm="1">
        <f t="array" ref="K92">IFERROR(_xlfn.XLOOKUP($B92,'Brondata Mobiliteit'!$B$9:$B$19,_xlfn.XLOOKUP(Berekeningen!K$91,'Brondata Mobiliteit'!$C$8:$N$8,'Brondata Mobiliteit'!$C$9:$N$19)),NA())</f>
        <v>#N/A</v>
      </c>
      <c r="L92" s="93" t="e" cm="1">
        <f t="array" ref="L92">IFERROR(_xlfn.XLOOKUP($B92,'Brondata Mobiliteit'!$B$9:$B$19,_xlfn.XLOOKUP(Berekeningen!L$91,'Brondata Mobiliteit'!$C$8:$N$8,'Brondata Mobiliteit'!$C$9:$N$19)),NA())</f>
        <v>#N/A</v>
      </c>
      <c r="M92" s="93" t="e" cm="1">
        <f t="array" ref="M92">IFERROR(_xlfn.XLOOKUP($B92,'Brondata Mobiliteit'!$B$9:$B$19,_xlfn.XLOOKUP(Berekeningen!M$91,'Brondata Mobiliteit'!$C$8:$N$8,'Brondata Mobiliteit'!$C$9:$N$19)),NA())</f>
        <v>#N/A</v>
      </c>
      <c r="N92" s="93" t="e" cm="1">
        <f t="array" ref="N92">IFERROR(_xlfn.XLOOKUP($B92,'Brondata Mobiliteit'!$B$9:$B$19,_xlfn.XLOOKUP(Berekeningen!N$91,'Brondata Mobiliteit'!$C$8:$N$8,'Brondata Mobiliteit'!$C$9:$N$19)),NA())</f>
        <v>#N/A</v>
      </c>
    </row>
    <row r="93" spans="2:14">
      <c r="B93" s="97" t="s">
        <v>68</v>
      </c>
      <c r="C93" s="93" cm="1">
        <f t="array" ref="C93">IFERROR(_xlfn.XLOOKUP($B93,'Brondata Mobiliteit'!$B$9:$B$19,_xlfn.XLOOKUP(Berekeningen!C$91,'Brondata Mobiliteit'!$C$8:$N$8,'Brondata Mobiliteit'!$C$9:$N$19)),NA())</f>
        <v>0</v>
      </c>
      <c r="D93" s="93" cm="1">
        <f t="array" ref="D93">IFERROR(_xlfn.XLOOKUP($B93,'Brondata Mobiliteit'!$B$9:$B$19,_xlfn.XLOOKUP(Berekeningen!D$91,'Brondata Mobiliteit'!$C$8:$N$8,'Brondata Mobiliteit'!$C$9:$N$19)),NA())</f>
        <v>0</v>
      </c>
      <c r="E93" s="93" cm="1">
        <f t="array" ref="E93">IFERROR(_xlfn.XLOOKUP($B93,'Brondata Mobiliteit'!$B$9:$B$19,_xlfn.XLOOKUP(Berekeningen!E$91,'Brondata Mobiliteit'!$C$8:$N$8,'Brondata Mobiliteit'!$C$9:$N$19)),NA())</f>
        <v>3</v>
      </c>
      <c r="F93" s="93" cm="1">
        <f t="array" ref="F93">IFERROR(_xlfn.XLOOKUP($B93,'Brondata Mobiliteit'!$B$9:$B$19,_xlfn.XLOOKUP(Berekeningen!F$91,'Brondata Mobiliteit'!$C$8:$N$8,'Brondata Mobiliteit'!$C$9:$N$19)),NA())</f>
        <v>7</v>
      </c>
      <c r="G93" s="93" cm="1">
        <f t="array" ref="G93">IFERROR(_xlfn.XLOOKUP($B93,'Brondata Mobiliteit'!$B$9:$B$19,_xlfn.XLOOKUP(Berekeningen!G$91,'Brondata Mobiliteit'!$C$8:$N$8,'Brondata Mobiliteit'!$C$9:$N$19)),NA())</f>
        <v>7</v>
      </c>
      <c r="H93" s="93" t="e" cm="1">
        <f t="array" ref="H93">IFERROR(_xlfn.XLOOKUP($B93,'Brondata Mobiliteit'!$B$9:$B$19,_xlfn.XLOOKUP(Berekeningen!H$91,'Brondata Mobiliteit'!$C$8:$N$8,'Brondata Mobiliteit'!$C$9:$N$19)),NA())</f>
        <v>#N/A</v>
      </c>
      <c r="I93" s="93" t="e" cm="1">
        <f t="array" ref="I93">IFERROR(_xlfn.XLOOKUP($B93,'Brondata Mobiliteit'!$B$9:$B$19,_xlfn.XLOOKUP(Berekeningen!I$91,'Brondata Mobiliteit'!$C$8:$N$8,'Brondata Mobiliteit'!$C$9:$N$19)),NA())</f>
        <v>#N/A</v>
      </c>
      <c r="J93" s="93" t="e" cm="1">
        <f t="array" ref="J93">IFERROR(_xlfn.XLOOKUP($B93,'Brondata Mobiliteit'!$B$9:$B$19,_xlfn.XLOOKUP(Berekeningen!J$91,'Brondata Mobiliteit'!$C$8:$N$8,'Brondata Mobiliteit'!$C$9:$N$19)),NA())</f>
        <v>#N/A</v>
      </c>
      <c r="K93" s="93" t="e" cm="1">
        <f t="array" ref="K93">IFERROR(_xlfn.XLOOKUP($B93,'Brondata Mobiliteit'!$B$9:$B$19,_xlfn.XLOOKUP(Berekeningen!K$91,'Brondata Mobiliteit'!$C$8:$N$8,'Brondata Mobiliteit'!$C$9:$N$19)),NA())</f>
        <v>#N/A</v>
      </c>
      <c r="L93" s="93" t="e" cm="1">
        <f t="array" ref="L93">IFERROR(_xlfn.XLOOKUP($B93,'Brondata Mobiliteit'!$B$9:$B$19,_xlfn.XLOOKUP(Berekeningen!L$91,'Brondata Mobiliteit'!$C$8:$N$8,'Brondata Mobiliteit'!$C$9:$N$19)),NA())</f>
        <v>#N/A</v>
      </c>
      <c r="M93" s="93" t="e" cm="1">
        <f t="array" ref="M93">IFERROR(_xlfn.XLOOKUP($B93,'Brondata Mobiliteit'!$B$9:$B$19,_xlfn.XLOOKUP(Berekeningen!M$91,'Brondata Mobiliteit'!$C$8:$N$8,'Brondata Mobiliteit'!$C$9:$N$19)),NA())</f>
        <v>#N/A</v>
      </c>
      <c r="N93" s="93" t="e" cm="1">
        <f t="array" ref="N93">IFERROR(_xlfn.XLOOKUP($B93,'Brondata Mobiliteit'!$B$9:$B$19,_xlfn.XLOOKUP(Berekeningen!N$91,'Brondata Mobiliteit'!$C$8:$N$8,'Brondata Mobiliteit'!$C$9:$N$19)),NA())</f>
        <v>#N/A</v>
      </c>
    </row>
    <row r="94" spans="2:14">
      <c r="B94" s="97" t="s">
        <v>69</v>
      </c>
      <c r="C94" s="93" cm="1">
        <f t="array" ref="C94">IFERROR(_xlfn.XLOOKUP($B94,'Brondata Mobiliteit'!$B$9:$B$19,_xlfn.XLOOKUP(Berekeningen!C$91,'Brondata Mobiliteit'!$C$8:$N$8,'Brondata Mobiliteit'!$C$9:$N$19)),NA())</f>
        <v>60</v>
      </c>
      <c r="D94" s="93" cm="1">
        <f t="array" ref="D94">IFERROR(_xlfn.XLOOKUP($B94,'Brondata Mobiliteit'!$B$9:$B$19,_xlfn.XLOOKUP(Berekeningen!D$91,'Brondata Mobiliteit'!$C$8:$N$8,'Brondata Mobiliteit'!$C$9:$N$19)),NA())</f>
        <v>82</v>
      </c>
      <c r="E94" s="93" cm="1">
        <f t="array" ref="E94">IFERROR(_xlfn.XLOOKUP($B94,'Brondata Mobiliteit'!$B$9:$B$19,_xlfn.XLOOKUP(Berekeningen!E$91,'Brondata Mobiliteit'!$C$8:$N$8,'Brondata Mobiliteit'!$C$9:$N$19)),NA())</f>
        <v>89</v>
      </c>
      <c r="F94" s="93" cm="1">
        <f t="array" ref="F94">IFERROR(_xlfn.XLOOKUP($B94,'Brondata Mobiliteit'!$B$9:$B$19,_xlfn.XLOOKUP(Berekeningen!F$91,'Brondata Mobiliteit'!$C$8:$N$8,'Brondata Mobiliteit'!$C$9:$N$19)),NA())</f>
        <v>116</v>
      </c>
      <c r="G94" s="93" cm="1">
        <f t="array" ref="G94">IFERROR(_xlfn.XLOOKUP($B94,'Brondata Mobiliteit'!$B$9:$B$19,_xlfn.XLOOKUP(Berekeningen!G$91,'Brondata Mobiliteit'!$C$8:$N$8,'Brondata Mobiliteit'!$C$9:$N$19)),NA())</f>
        <v>182</v>
      </c>
      <c r="H94" s="93" t="e" cm="1">
        <f t="array" ref="H94">IFERROR(_xlfn.XLOOKUP($B94,'Brondata Mobiliteit'!$B$9:$B$19,_xlfn.XLOOKUP(Berekeningen!H$91,'Brondata Mobiliteit'!$C$8:$N$8,'Brondata Mobiliteit'!$C$9:$N$19)),NA())</f>
        <v>#N/A</v>
      </c>
      <c r="I94" s="93" t="e" cm="1">
        <f t="array" ref="I94">IFERROR(_xlfn.XLOOKUP($B94,'Brondata Mobiliteit'!$B$9:$B$19,_xlfn.XLOOKUP(Berekeningen!I$91,'Brondata Mobiliteit'!$C$8:$N$8,'Brondata Mobiliteit'!$C$9:$N$19)),NA())</f>
        <v>#N/A</v>
      </c>
      <c r="J94" s="93" t="e" cm="1">
        <f t="array" ref="J94">IFERROR(_xlfn.XLOOKUP($B94,'Brondata Mobiliteit'!$B$9:$B$19,_xlfn.XLOOKUP(Berekeningen!J$91,'Brondata Mobiliteit'!$C$8:$N$8,'Brondata Mobiliteit'!$C$9:$N$19)),NA())</f>
        <v>#N/A</v>
      </c>
      <c r="K94" s="93" t="e" cm="1">
        <f t="array" ref="K94">IFERROR(_xlfn.XLOOKUP($B94,'Brondata Mobiliteit'!$B$9:$B$19,_xlfn.XLOOKUP(Berekeningen!K$91,'Brondata Mobiliteit'!$C$8:$N$8,'Brondata Mobiliteit'!$C$9:$N$19)),NA())</f>
        <v>#N/A</v>
      </c>
      <c r="L94" s="93" t="e" cm="1">
        <f t="array" ref="L94">IFERROR(_xlfn.XLOOKUP($B94,'Brondata Mobiliteit'!$B$9:$B$19,_xlfn.XLOOKUP(Berekeningen!L$91,'Brondata Mobiliteit'!$C$8:$N$8,'Brondata Mobiliteit'!$C$9:$N$19)),NA())</f>
        <v>#N/A</v>
      </c>
      <c r="M94" s="93" t="e" cm="1">
        <f t="array" ref="M94">IFERROR(_xlfn.XLOOKUP($B94,'Brondata Mobiliteit'!$B$9:$B$19,_xlfn.XLOOKUP(Berekeningen!M$91,'Brondata Mobiliteit'!$C$8:$N$8,'Brondata Mobiliteit'!$C$9:$N$19)),NA())</f>
        <v>#N/A</v>
      </c>
      <c r="N94" s="93" t="e" cm="1">
        <f t="array" ref="N94">IFERROR(_xlfn.XLOOKUP($B94,'Brondata Mobiliteit'!$B$9:$B$19,_xlfn.XLOOKUP(Berekeningen!N$91,'Brondata Mobiliteit'!$C$8:$N$8,'Brondata Mobiliteit'!$C$9:$N$19)),NA())</f>
        <v>#N/A</v>
      </c>
    </row>
    <row r="95" spans="2:14">
      <c r="B95" s="97" t="s">
        <v>70</v>
      </c>
      <c r="C95" s="93" cm="1">
        <f t="array" ref="C95">IFERROR(_xlfn.XLOOKUP($B95,'Brondata Mobiliteit'!$B$9:$B$19,_xlfn.XLOOKUP(Berekeningen!C$91,'Brondata Mobiliteit'!$C$8:$N$8,'Brondata Mobiliteit'!$C$9:$N$19)),NA())</f>
        <v>50</v>
      </c>
      <c r="D95" s="93" cm="1">
        <f t="array" ref="D95">IFERROR(_xlfn.XLOOKUP($B95,'Brondata Mobiliteit'!$B$9:$B$19,_xlfn.XLOOKUP(Berekeningen!D$91,'Brondata Mobiliteit'!$C$8:$N$8,'Brondata Mobiliteit'!$C$9:$N$19)),NA())</f>
        <v>30</v>
      </c>
      <c r="E95" s="93" cm="1">
        <f t="array" ref="E95">IFERROR(_xlfn.XLOOKUP($B95,'Brondata Mobiliteit'!$B$9:$B$19,_xlfn.XLOOKUP(Berekeningen!E$91,'Brondata Mobiliteit'!$C$8:$N$8,'Brondata Mobiliteit'!$C$9:$N$19)),NA())</f>
        <v>45</v>
      </c>
      <c r="F95" s="93" cm="1">
        <f t="array" ref="F95">IFERROR(_xlfn.XLOOKUP($B95,'Brondata Mobiliteit'!$B$9:$B$19,_xlfn.XLOOKUP(Berekeningen!F$91,'Brondata Mobiliteit'!$C$8:$N$8,'Brondata Mobiliteit'!$C$9:$N$19)),NA())</f>
        <v>50</v>
      </c>
      <c r="G95" s="93" cm="1">
        <f t="array" ref="G95">IFERROR(_xlfn.XLOOKUP($B95,'Brondata Mobiliteit'!$B$9:$B$19,_xlfn.XLOOKUP(Berekeningen!G$91,'Brondata Mobiliteit'!$C$8:$N$8,'Brondata Mobiliteit'!$C$9:$N$19)),NA())</f>
        <v>76</v>
      </c>
      <c r="H95" s="93" t="e" cm="1">
        <f t="array" ref="H95">IFERROR(_xlfn.XLOOKUP($B95,'Brondata Mobiliteit'!$B$9:$B$19,_xlfn.XLOOKUP(Berekeningen!H$91,'Brondata Mobiliteit'!$C$8:$N$8,'Brondata Mobiliteit'!$C$9:$N$19)),NA())</f>
        <v>#N/A</v>
      </c>
      <c r="I95" s="93" t="e" cm="1">
        <f t="array" ref="I95">IFERROR(_xlfn.XLOOKUP($B95,'Brondata Mobiliteit'!$B$9:$B$19,_xlfn.XLOOKUP(Berekeningen!I$91,'Brondata Mobiliteit'!$C$8:$N$8,'Brondata Mobiliteit'!$C$9:$N$19)),NA())</f>
        <v>#N/A</v>
      </c>
      <c r="J95" s="93" t="e" cm="1">
        <f t="array" ref="J95">IFERROR(_xlfn.XLOOKUP($B95,'Brondata Mobiliteit'!$B$9:$B$19,_xlfn.XLOOKUP(Berekeningen!J$91,'Brondata Mobiliteit'!$C$8:$N$8,'Brondata Mobiliteit'!$C$9:$N$19)),NA())</f>
        <v>#N/A</v>
      </c>
      <c r="K95" s="93" t="e" cm="1">
        <f t="array" ref="K95">IFERROR(_xlfn.XLOOKUP($B95,'Brondata Mobiliteit'!$B$9:$B$19,_xlfn.XLOOKUP(Berekeningen!K$91,'Brondata Mobiliteit'!$C$8:$N$8,'Brondata Mobiliteit'!$C$9:$N$19)),NA())</f>
        <v>#N/A</v>
      </c>
      <c r="L95" s="93" t="e" cm="1">
        <f t="array" ref="L95">IFERROR(_xlfn.XLOOKUP($B95,'Brondata Mobiliteit'!$B$9:$B$19,_xlfn.XLOOKUP(Berekeningen!L$91,'Brondata Mobiliteit'!$C$8:$N$8,'Brondata Mobiliteit'!$C$9:$N$19)),NA())</f>
        <v>#N/A</v>
      </c>
      <c r="M95" s="93" t="e" cm="1">
        <f t="array" ref="M95">IFERROR(_xlfn.XLOOKUP($B95,'Brondata Mobiliteit'!$B$9:$B$19,_xlfn.XLOOKUP(Berekeningen!M$91,'Brondata Mobiliteit'!$C$8:$N$8,'Brondata Mobiliteit'!$C$9:$N$19)),NA())</f>
        <v>#N/A</v>
      </c>
      <c r="N95" s="93" t="e" cm="1">
        <f t="array" ref="N95">IFERROR(_xlfn.XLOOKUP($B95,'Brondata Mobiliteit'!$B$9:$B$19,_xlfn.XLOOKUP(Berekeningen!N$91,'Brondata Mobiliteit'!$C$8:$N$8,'Brondata Mobiliteit'!$C$9:$N$19)),NA())</f>
        <v>#N/A</v>
      </c>
    </row>
    <row r="96" spans="2:14">
      <c r="B96" s="94" t="s">
        <v>66</v>
      </c>
      <c r="C96" s="93" cm="1">
        <f t="array" ref="C96">IFERROR(_xlfn.XLOOKUP($B96,'Brondata Mobiliteit'!$B$9:$B$19,_xlfn.XLOOKUP(Berekeningen!C$91,'Brondata Mobiliteit'!$C$8:$N$8,'Brondata Mobiliteit'!$C$9:$N$19)),NA())</f>
        <v>110</v>
      </c>
      <c r="D96" s="93" cm="1">
        <f t="array" ref="D96">IFERROR(_xlfn.XLOOKUP($B96,'Brondata Mobiliteit'!$B$9:$B$19,_xlfn.XLOOKUP(Berekeningen!D$91,'Brondata Mobiliteit'!$C$8:$N$8,'Brondata Mobiliteit'!$C$9:$N$19)),NA())</f>
        <v>112</v>
      </c>
      <c r="E96" s="93" cm="1">
        <f t="array" ref="E96">IFERROR(_xlfn.XLOOKUP($B96,'Brondata Mobiliteit'!$B$9:$B$19,_xlfn.XLOOKUP(Berekeningen!E$91,'Brondata Mobiliteit'!$C$8:$N$8,'Brondata Mobiliteit'!$C$9:$N$19)),NA())</f>
        <v>137</v>
      </c>
      <c r="F96" s="93" cm="1">
        <f t="array" ref="F96">IFERROR(_xlfn.XLOOKUP($B96,'Brondata Mobiliteit'!$B$9:$B$19,_xlfn.XLOOKUP(Berekeningen!F$91,'Brondata Mobiliteit'!$C$8:$N$8,'Brondata Mobiliteit'!$C$9:$N$19)),NA())</f>
        <v>173</v>
      </c>
      <c r="G96" s="93" cm="1">
        <f t="array" ref="G96">IFERROR(_xlfn.XLOOKUP($B96,'Brondata Mobiliteit'!$B$9:$B$19,_xlfn.XLOOKUP(Berekeningen!G$91,'Brondata Mobiliteit'!$C$8:$N$8,'Brondata Mobiliteit'!$C$9:$N$19)),NA())</f>
        <v>265</v>
      </c>
      <c r="H96" s="93" t="e" cm="1">
        <f t="array" ref="H96">IFERROR(_xlfn.XLOOKUP($B96,'Brondata Mobiliteit'!$B$9:$B$19,_xlfn.XLOOKUP(Berekeningen!H$91,'Brondata Mobiliteit'!$C$8:$N$8,'Brondata Mobiliteit'!$C$9:$N$19)),NA())</f>
        <v>#N/A</v>
      </c>
      <c r="I96" s="93" t="e" cm="1">
        <f t="array" ref="I96">IFERROR(_xlfn.XLOOKUP($B96,'Brondata Mobiliteit'!$B$9:$B$19,_xlfn.XLOOKUP(Berekeningen!I$91,'Brondata Mobiliteit'!$C$8:$N$8,'Brondata Mobiliteit'!$C$9:$N$19)),NA())</f>
        <v>#N/A</v>
      </c>
      <c r="J96" s="93" t="e" cm="1">
        <f t="array" ref="J96">IFERROR(_xlfn.XLOOKUP($B96,'Brondata Mobiliteit'!$B$9:$B$19,_xlfn.XLOOKUP(Berekeningen!J$91,'Brondata Mobiliteit'!$C$8:$N$8,'Brondata Mobiliteit'!$C$9:$N$19)),NA())</f>
        <v>#N/A</v>
      </c>
      <c r="K96" s="93" t="e" cm="1">
        <f t="array" ref="K96">IFERROR(_xlfn.XLOOKUP($B96,'Brondata Mobiliteit'!$B$9:$B$19,_xlfn.XLOOKUP(Berekeningen!K$91,'Brondata Mobiliteit'!$C$8:$N$8,'Brondata Mobiliteit'!$C$9:$N$19)),NA())</f>
        <v>#N/A</v>
      </c>
      <c r="L96" s="93" t="e" cm="1">
        <f t="array" ref="L96">IFERROR(_xlfn.XLOOKUP($B96,'Brondata Mobiliteit'!$B$9:$B$19,_xlfn.XLOOKUP(Berekeningen!L$91,'Brondata Mobiliteit'!$C$8:$N$8,'Brondata Mobiliteit'!$C$9:$N$19)),NA())</f>
        <v>#N/A</v>
      </c>
      <c r="M96" s="93" t="e" cm="1">
        <f t="array" ref="M96">IFERROR(_xlfn.XLOOKUP($B96,'Brondata Mobiliteit'!$B$9:$B$19,_xlfn.XLOOKUP(Berekeningen!M$91,'Brondata Mobiliteit'!$C$8:$N$8,'Brondata Mobiliteit'!$C$9:$N$19)),NA())</f>
        <v>#N/A</v>
      </c>
      <c r="N96" s="93" t="e" cm="1">
        <f t="array" ref="N96">IFERROR(_xlfn.XLOOKUP($B96,'Brondata Mobiliteit'!$B$9:$B$19,_xlfn.XLOOKUP(Berekeningen!N$91,'Brondata Mobiliteit'!$C$8:$N$8,'Brondata Mobiliteit'!$C$9:$N$19)),NA())</f>
        <v>#N/A</v>
      </c>
    </row>
    <row r="97" spans="2:14">
      <c r="B97" s="94" t="s">
        <v>596</v>
      </c>
      <c r="C97" s="93"/>
      <c r="D97" s="232">
        <f t="shared" ref="D97:N97" si="20">IF((D96-$C$96)/$C$96=0,NA(),(D96-$C$96)/$C$96)</f>
        <v>1.8181818181818181E-2</v>
      </c>
      <c r="E97" s="232">
        <f t="shared" si="20"/>
        <v>0.24545454545454545</v>
      </c>
      <c r="F97" s="232">
        <f t="shared" si="20"/>
        <v>0.57272727272727275</v>
      </c>
      <c r="G97" s="232">
        <f t="shared" si="20"/>
        <v>1.4090909090909092</v>
      </c>
      <c r="H97" s="232" t="e">
        <f t="shared" si="20"/>
        <v>#N/A</v>
      </c>
      <c r="I97" s="232" t="e">
        <f t="shared" si="20"/>
        <v>#N/A</v>
      </c>
      <c r="J97" s="232" t="e">
        <f t="shared" si="20"/>
        <v>#N/A</v>
      </c>
      <c r="K97" s="232" t="e">
        <f t="shared" si="20"/>
        <v>#N/A</v>
      </c>
      <c r="L97" s="232" t="e">
        <f t="shared" si="20"/>
        <v>#N/A</v>
      </c>
      <c r="M97" s="232" t="e">
        <f t="shared" si="20"/>
        <v>#N/A</v>
      </c>
      <c r="N97" s="232" t="e">
        <f t="shared" si="20"/>
        <v>#N/A</v>
      </c>
    </row>
    <row r="99" spans="2:14" ht="22.8">
      <c r="B99" s="159" t="s">
        <v>188</v>
      </c>
      <c r="C99" s="159"/>
      <c r="D99" s="159"/>
      <c r="E99" s="159"/>
      <c r="F99" s="159"/>
      <c r="G99" s="159"/>
      <c r="H99" s="159"/>
      <c r="I99" s="159"/>
      <c r="J99" s="159"/>
      <c r="K99" s="159"/>
      <c r="L99" s="159"/>
      <c r="M99" s="159"/>
      <c r="N99" s="159"/>
    </row>
    <row r="101" spans="2:14">
      <c r="B101" s="19" t="s">
        <v>193</v>
      </c>
      <c r="C101" s="38">
        <v>2019</v>
      </c>
      <c r="D101" s="38">
        <v>2020</v>
      </c>
      <c r="E101" s="38">
        <v>2021</v>
      </c>
      <c r="F101" s="38">
        <v>2022</v>
      </c>
      <c r="G101" s="38">
        <v>2023</v>
      </c>
      <c r="H101" s="38">
        <v>2024</v>
      </c>
      <c r="I101" s="38">
        <v>2025</v>
      </c>
      <c r="J101" s="38">
        <v>2026</v>
      </c>
      <c r="K101" s="38">
        <v>2027</v>
      </c>
      <c r="L101" s="38">
        <v>2028</v>
      </c>
      <c r="M101" s="38">
        <v>2029</v>
      </c>
      <c r="N101" s="38">
        <v>2030</v>
      </c>
    </row>
    <row r="102" spans="2:14">
      <c r="B102" s="99" t="s">
        <v>43</v>
      </c>
      <c r="C102" s="98" cm="1">
        <f t="array" ref="C102">IFERROR(_xlfn.XLOOKUP($B102,'Brondata Woningen'!$B$7:$B$19,_xlfn.XLOOKUP(Berekeningen!C$101,'Brondata Woningen'!$C$6:$N$6,'Brondata Woningen'!$C$7:$N$19)),NA())</f>
        <v>19280</v>
      </c>
      <c r="D102" s="98" cm="1">
        <f t="array" ref="D102">IFERROR(_xlfn.XLOOKUP($B102,'Brondata Woningen'!$B$7:$B$19,_xlfn.XLOOKUP(Berekeningen!D$101,'Brondata Woningen'!$C$6:$N$6,'Brondata Woningen'!$C$7:$N$19)),NA())</f>
        <v>19403</v>
      </c>
      <c r="E102" s="98" cm="1">
        <f t="array" ref="E102">IFERROR(_xlfn.XLOOKUP($B102,'Brondata Woningen'!$B$7:$B$19,_xlfn.XLOOKUP(Berekeningen!E$101,'Brondata Woningen'!$C$6:$N$6,'Brondata Woningen'!$C$7:$N$19)),NA())</f>
        <v>19511</v>
      </c>
      <c r="F102" s="98" cm="1">
        <f t="array" ref="F102">IFERROR(_xlfn.XLOOKUP($B102,'Brondata Woningen'!$B$7:$B$19,_xlfn.XLOOKUP(Berekeningen!F$101,'Brondata Woningen'!$C$6:$N$6,'Brondata Woningen'!$C$7:$N$19)),NA())</f>
        <v>19628</v>
      </c>
      <c r="G102" s="98" cm="1">
        <f t="array" ref="G102">IFERROR(_xlfn.XLOOKUP($B102,'Brondata Woningen'!$B$7:$B$19,_xlfn.XLOOKUP(Berekeningen!G$101,'Brondata Woningen'!$C$6:$N$6,'Brondata Woningen'!$C$7:$N$19)),NA())</f>
        <v>19906</v>
      </c>
      <c r="H102" s="98" t="e" cm="1">
        <f t="array" ref="H102">IFERROR(_xlfn.XLOOKUP($B102,'Brondata Woningen'!$B$7:$B$19,_xlfn.XLOOKUP(Berekeningen!H$101,'Brondata Woningen'!$C$6:$N$6,'Brondata Woningen'!$C$7:$N$19)),NA())</f>
        <v>#N/A</v>
      </c>
      <c r="I102" s="98" t="e" cm="1">
        <f t="array" ref="I102">IFERROR(_xlfn.XLOOKUP($B102,'Brondata Woningen'!$B$7:$B$19,_xlfn.XLOOKUP(Berekeningen!I$101,'Brondata Woningen'!$C$6:$N$6,'Brondata Woningen'!$C$7:$N$19)),NA())</f>
        <v>#N/A</v>
      </c>
      <c r="J102" s="98" t="e" cm="1">
        <f t="array" ref="J102">IFERROR(_xlfn.XLOOKUP($B102,'Brondata Woningen'!$B$7:$B$19,_xlfn.XLOOKUP(Berekeningen!J$101,'Brondata Woningen'!$C$6:$N$6,'Brondata Woningen'!$C$7:$N$19)),NA())</f>
        <v>#N/A</v>
      </c>
      <c r="K102" s="98" t="e" cm="1">
        <f t="array" ref="K102">IFERROR(_xlfn.XLOOKUP($B102,'Brondata Woningen'!$B$7:$B$19,_xlfn.XLOOKUP(Berekeningen!K$101,'Brondata Woningen'!$C$6:$N$6,'Brondata Woningen'!$C$7:$N$19)),NA())</f>
        <v>#N/A</v>
      </c>
      <c r="L102" s="98" t="e" cm="1">
        <f t="array" ref="L102">IFERROR(_xlfn.XLOOKUP($B102,'Brondata Woningen'!$B$7:$B$19,_xlfn.XLOOKUP(Berekeningen!L$101,'Brondata Woningen'!$C$6:$N$6,'Brondata Woningen'!$C$7:$N$19)),NA())</f>
        <v>#N/A</v>
      </c>
      <c r="M102" s="98" t="e" cm="1">
        <f t="array" ref="M102">IFERROR(_xlfn.XLOOKUP($B102,'Brondata Woningen'!$B$7:$B$19,_xlfn.XLOOKUP(Berekeningen!M$101,'Brondata Woningen'!$C$6:$N$6,'Brondata Woningen'!$C$7:$N$19)),NA())</f>
        <v>#N/A</v>
      </c>
      <c r="N102" s="98" t="e" cm="1">
        <f t="array" ref="N102">IFERROR(_xlfn.XLOOKUP($B102,'Brondata Woningen'!$B$7:$B$19,_xlfn.XLOOKUP(Berekeningen!N$101,'Brondata Woningen'!$C$6:$N$6,'Brondata Woningen'!$C$7:$N$19)),NA())</f>
        <v>#N/A</v>
      </c>
    </row>
    <row r="103" spans="2:14">
      <c r="B103" s="99" t="s">
        <v>49</v>
      </c>
      <c r="C103" s="98" cm="1">
        <f t="array" ref="C103">IFERROR(_xlfn.XLOOKUP($B103,'Brondata Woningen'!$B$7:$B$19,_xlfn.XLOOKUP(Berekeningen!C$101,'Brondata Woningen'!$C$6:$N$6,'Brondata Woningen'!$C$7:$N$19)),NA())</f>
        <v>2520</v>
      </c>
      <c r="D103" s="98" cm="1">
        <f t="array" ref="D103">IFERROR(_xlfn.XLOOKUP($B103,'Brondata Woningen'!$B$7:$B$19,_xlfn.XLOOKUP(Berekeningen!D$101,'Brondata Woningen'!$C$6:$N$6,'Brondata Woningen'!$C$7:$N$19)),NA())</f>
        <v>3075</v>
      </c>
      <c r="E103" s="98" cm="1">
        <f t="array" ref="E103">IFERROR(_xlfn.XLOOKUP($B103,'Brondata Woningen'!$B$7:$B$19,_xlfn.XLOOKUP(Berekeningen!E$101,'Brondata Woningen'!$C$6:$N$6,'Brondata Woningen'!$C$7:$N$19)),NA())</f>
        <v>3260</v>
      </c>
      <c r="F103" s="98" cm="1">
        <f t="array" ref="F103">IFERROR(_xlfn.XLOOKUP($B103,'Brondata Woningen'!$B$7:$B$19,_xlfn.XLOOKUP(Berekeningen!F$101,'Brondata Woningen'!$C$6:$N$6,'Brondata Woningen'!$C$7:$N$19)),NA())</f>
        <v>3655</v>
      </c>
      <c r="G103" s="98" cm="1">
        <f t="array" ref="G103">IFERROR(_xlfn.XLOOKUP($B103,'Brondata Woningen'!$B$7:$B$19,_xlfn.XLOOKUP(Berekeningen!G$101,'Brondata Woningen'!$C$6:$N$6,'Brondata Woningen'!$C$7:$N$19)),NA())</f>
        <v>3900</v>
      </c>
      <c r="H103" s="98" t="e" cm="1">
        <f t="array" ref="H103">IFERROR(_xlfn.XLOOKUP($B103,'Brondata Woningen'!$B$7:$B$19,_xlfn.XLOOKUP(Berekeningen!H$101,'Brondata Woningen'!$C$6:$N$6,'Brondata Woningen'!$C$7:$N$19)),NA())</f>
        <v>#N/A</v>
      </c>
      <c r="I103" s="98" t="e" cm="1">
        <f t="array" ref="I103">IFERROR(_xlfn.XLOOKUP($B103,'Brondata Woningen'!$B$7:$B$19,_xlfn.XLOOKUP(Berekeningen!I$101,'Brondata Woningen'!$C$6:$N$6,'Brondata Woningen'!$C$7:$N$19)),NA())</f>
        <v>#N/A</v>
      </c>
      <c r="J103" s="98" t="e" cm="1">
        <f t="array" ref="J103">IFERROR(_xlfn.XLOOKUP($B103,'Brondata Woningen'!$B$7:$B$19,_xlfn.XLOOKUP(Berekeningen!J$101,'Brondata Woningen'!$C$6:$N$6,'Brondata Woningen'!$C$7:$N$19)),NA())</f>
        <v>#N/A</v>
      </c>
      <c r="K103" s="98" t="e" cm="1">
        <f t="array" ref="K103">IFERROR(_xlfn.XLOOKUP($B103,'Brondata Woningen'!$B$7:$B$19,_xlfn.XLOOKUP(Berekeningen!K$101,'Brondata Woningen'!$C$6:$N$6,'Brondata Woningen'!$C$7:$N$19)),NA())</f>
        <v>#N/A</v>
      </c>
      <c r="L103" s="98" t="e" cm="1">
        <f t="array" ref="L103">IFERROR(_xlfn.XLOOKUP($B103,'Brondata Woningen'!$B$7:$B$19,_xlfn.XLOOKUP(Berekeningen!L$101,'Brondata Woningen'!$C$6:$N$6,'Brondata Woningen'!$C$7:$N$19)),NA())</f>
        <v>#N/A</v>
      </c>
      <c r="M103" s="98" t="e" cm="1">
        <f t="array" ref="M103">IFERROR(_xlfn.XLOOKUP($B103,'Brondata Woningen'!$B$7:$B$19,_xlfn.XLOOKUP(Berekeningen!M$101,'Brondata Woningen'!$C$6:$N$6,'Brondata Woningen'!$C$7:$N$19)),NA())</f>
        <v>#N/A</v>
      </c>
      <c r="N103" s="98" t="e" cm="1">
        <f t="array" ref="N103">IFERROR(_xlfn.XLOOKUP($B103,'Brondata Woningen'!$B$7:$B$19,_xlfn.XLOOKUP(Berekeningen!N$101,'Brondata Woningen'!$C$6:$N$6,'Brondata Woningen'!$C$7:$N$19)),NA())</f>
        <v>#N/A</v>
      </c>
    </row>
    <row r="104" spans="2:14">
      <c r="B104" s="99" t="s">
        <v>50</v>
      </c>
      <c r="C104" s="98" cm="1">
        <f t="array" ref="C104">IFERROR(_xlfn.XLOOKUP($B104,'Brondata Woningen'!$B$7:$B$19,_xlfn.XLOOKUP(Berekeningen!C$101,'Brondata Woningen'!$C$6:$N$6,'Brondata Woningen'!$C$7:$N$19)),NA())</f>
        <v>1450</v>
      </c>
      <c r="D104" s="98" cm="1">
        <f t="array" ref="D104">IFERROR(_xlfn.XLOOKUP($B104,'Brondata Woningen'!$B$7:$B$19,_xlfn.XLOOKUP(Berekeningen!D$101,'Brondata Woningen'!$C$6:$N$6,'Brondata Woningen'!$C$7:$N$19)),NA())</f>
        <v>1650</v>
      </c>
      <c r="E104" s="98" cm="1">
        <f t="array" ref="E104">IFERROR(_xlfn.XLOOKUP($B104,'Brondata Woningen'!$B$7:$B$19,_xlfn.XLOOKUP(Berekeningen!E$101,'Brondata Woningen'!$C$6:$N$6,'Brondata Woningen'!$C$7:$N$19)),NA())</f>
        <v>1705</v>
      </c>
      <c r="F104" s="98" cm="1">
        <f t="array" ref="F104">IFERROR(_xlfn.XLOOKUP($B104,'Brondata Woningen'!$B$7:$B$19,_xlfn.XLOOKUP(Berekeningen!F$101,'Brondata Woningen'!$C$6:$N$6,'Brondata Woningen'!$C$7:$N$19)),NA())</f>
        <v>1680</v>
      </c>
      <c r="G104" s="98" cm="1">
        <f t="array" ref="G104">IFERROR(_xlfn.XLOOKUP($B104,'Brondata Woningen'!$B$7:$B$19,_xlfn.XLOOKUP(Berekeningen!G$101,'Brondata Woningen'!$C$6:$N$6,'Brondata Woningen'!$C$7:$N$19)),NA())</f>
        <v>1820</v>
      </c>
      <c r="H104" s="98" t="e" cm="1">
        <f t="array" ref="H104">IFERROR(_xlfn.XLOOKUP($B104,'Brondata Woningen'!$B$7:$B$19,_xlfn.XLOOKUP(Berekeningen!H$101,'Brondata Woningen'!$C$6:$N$6,'Brondata Woningen'!$C$7:$N$19)),NA())</f>
        <v>#N/A</v>
      </c>
      <c r="I104" s="98" t="e" cm="1">
        <f t="array" ref="I104">IFERROR(_xlfn.XLOOKUP($B104,'Brondata Woningen'!$B$7:$B$19,_xlfn.XLOOKUP(Berekeningen!I$101,'Brondata Woningen'!$C$6:$N$6,'Brondata Woningen'!$C$7:$N$19)),NA())</f>
        <v>#N/A</v>
      </c>
      <c r="J104" s="98" t="e" cm="1">
        <f t="array" ref="J104">IFERROR(_xlfn.XLOOKUP($B104,'Brondata Woningen'!$B$7:$B$19,_xlfn.XLOOKUP(Berekeningen!J$101,'Brondata Woningen'!$C$6:$N$6,'Brondata Woningen'!$C$7:$N$19)),NA())</f>
        <v>#N/A</v>
      </c>
      <c r="K104" s="98" t="e" cm="1">
        <f t="array" ref="K104">IFERROR(_xlfn.XLOOKUP($B104,'Brondata Woningen'!$B$7:$B$19,_xlfn.XLOOKUP(Berekeningen!K$101,'Brondata Woningen'!$C$6:$N$6,'Brondata Woningen'!$C$7:$N$19)),NA())</f>
        <v>#N/A</v>
      </c>
      <c r="L104" s="98" t="e" cm="1">
        <f t="array" ref="L104">IFERROR(_xlfn.XLOOKUP($B104,'Brondata Woningen'!$B$7:$B$19,_xlfn.XLOOKUP(Berekeningen!L$101,'Brondata Woningen'!$C$6:$N$6,'Brondata Woningen'!$C$7:$N$19)),NA())</f>
        <v>#N/A</v>
      </c>
      <c r="M104" s="98" t="e" cm="1">
        <f t="array" ref="M104">IFERROR(_xlfn.XLOOKUP($B104,'Brondata Woningen'!$B$7:$B$19,_xlfn.XLOOKUP(Berekeningen!M$101,'Brondata Woningen'!$C$6:$N$6,'Brondata Woningen'!$C$7:$N$19)),NA())</f>
        <v>#N/A</v>
      </c>
      <c r="N104" s="98" t="e" cm="1">
        <f t="array" ref="N104">IFERROR(_xlfn.XLOOKUP($B104,'Brondata Woningen'!$B$7:$B$19,_xlfn.XLOOKUP(Berekeningen!N$101,'Brondata Woningen'!$C$6:$N$6,'Brondata Woningen'!$C$7:$N$19)),NA())</f>
        <v>#N/A</v>
      </c>
    </row>
    <row r="105" spans="2:14">
      <c r="B105" s="99" t="s">
        <v>51</v>
      </c>
      <c r="C105" s="98" cm="1">
        <f t="array" ref="C105">IFERROR(_xlfn.XLOOKUP($B105,'Brondata Woningen'!$B$7:$B$19,_xlfn.XLOOKUP(Berekeningen!C$101,'Brondata Woningen'!$C$6:$N$6,'Brondata Woningen'!$C$7:$N$19)),NA())</f>
        <v>3100</v>
      </c>
      <c r="D105" s="98" cm="1">
        <f t="array" ref="D105">IFERROR(_xlfn.XLOOKUP($B105,'Brondata Woningen'!$B$7:$B$19,_xlfn.XLOOKUP(Berekeningen!D$101,'Brondata Woningen'!$C$6:$N$6,'Brondata Woningen'!$C$7:$N$19)),NA())</f>
        <v>3415</v>
      </c>
      <c r="E105" s="98" cm="1">
        <f t="array" ref="E105">IFERROR(_xlfn.XLOOKUP($B105,'Brondata Woningen'!$B$7:$B$19,_xlfn.XLOOKUP(Berekeningen!E$101,'Brondata Woningen'!$C$6:$N$6,'Brondata Woningen'!$C$7:$N$19)),NA())</f>
        <v>3535</v>
      </c>
      <c r="F105" s="98" cm="1">
        <f t="array" ref="F105">IFERROR(_xlfn.XLOOKUP($B105,'Brondata Woningen'!$B$7:$B$19,_xlfn.XLOOKUP(Berekeningen!F$101,'Brondata Woningen'!$C$6:$N$6,'Brondata Woningen'!$C$7:$N$19)),NA())</f>
        <v>3760</v>
      </c>
      <c r="G105" s="98" cm="1">
        <f t="array" ref="G105">IFERROR(_xlfn.XLOOKUP($B105,'Brondata Woningen'!$B$7:$B$19,_xlfn.XLOOKUP(Berekeningen!G$101,'Brondata Woningen'!$C$6:$N$6,'Brondata Woningen'!$C$7:$N$19)),NA())</f>
        <v>3825</v>
      </c>
      <c r="H105" s="98" t="e" cm="1">
        <f t="array" ref="H105">IFERROR(_xlfn.XLOOKUP($B105,'Brondata Woningen'!$B$7:$B$19,_xlfn.XLOOKUP(Berekeningen!H$101,'Brondata Woningen'!$C$6:$N$6,'Brondata Woningen'!$C$7:$N$19)),NA())</f>
        <v>#N/A</v>
      </c>
      <c r="I105" s="98" t="e" cm="1">
        <f t="array" ref="I105">IFERROR(_xlfn.XLOOKUP($B105,'Brondata Woningen'!$B$7:$B$19,_xlfn.XLOOKUP(Berekeningen!I$101,'Brondata Woningen'!$C$6:$N$6,'Brondata Woningen'!$C$7:$N$19)),NA())</f>
        <v>#N/A</v>
      </c>
      <c r="J105" s="98" t="e" cm="1">
        <f t="array" ref="J105">IFERROR(_xlfn.XLOOKUP($B105,'Brondata Woningen'!$B$7:$B$19,_xlfn.XLOOKUP(Berekeningen!J$101,'Brondata Woningen'!$C$6:$N$6,'Brondata Woningen'!$C$7:$N$19)),NA())</f>
        <v>#N/A</v>
      </c>
      <c r="K105" s="98" t="e" cm="1">
        <f t="array" ref="K105">IFERROR(_xlfn.XLOOKUP($B105,'Brondata Woningen'!$B$7:$B$19,_xlfn.XLOOKUP(Berekeningen!K$101,'Brondata Woningen'!$C$6:$N$6,'Brondata Woningen'!$C$7:$N$19)),NA())</f>
        <v>#N/A</v>
      </c>
      <c r="L105" s="98" t="e" cm="1">
        <f t="array" ref="L105">IFERROR(_xlfn.XLOOKUP($B105,'Brondata Woningen'!$B$7:$B$19,_xlfn.XLOOKUP(Berekeningen!L$101,'Brondata Woningen'!$C$6:$N$6,'Brondata Woningen'!$C$7:$N$19)),NA())</f>
        <v>#N/A</v>
      </c>
      <c r="M105" s="98" t="e" cm="1">
        <f t="array" ref="M105">IFERROR(_xlfn.XLOOKUP($B105,'Brondata Woningen'!$B$7:$B$19,_xlfn.XLOOKUP(Berekeningen!M$101,'Brondata Woningen'!$C$6:$N$6,'Brondata Woningen'!$C$7:$N$19)),NA())</f>
        <v>#N/A</v>
      </c>
      <c r="N105" s="98" t="e" cm="1">
        <f t="array" ref="N105">IFERROR(_xlfn.XLOOKUP($B105,'Brondata Woningen'!$B$7:$B$19,_xlfn.XLOOKUP(Berekeningen!N$101,'Brondata Woningen'!$C$6:$N$6,'Brondata Woningen'!$C$7:$N$19)),NA())</f>
        <v>#N/A</v>
      </c>
    </row>
    <row r="106" spans="2:14">
      <c r="B106" s="99" t="s">
        <v>52</v>
      </c>
      <c r="C106" s="98" cm="1">
        <f t="array" ref="C106">IFERROR(_xlfn.XLOOKUP($B106,'Brondata Woningen'!$B$7:$B$19,_xlfn.XLOOKUP(Berekeningen!C$101,'Brondata Woningen'!$C$6:$N$6,'Brondata Woningen'!$C$7:$N$19)),NA())</f>
        <v>1630</v>
      </c>
      <c r="D106" s="98" cm="1">
        <f t="array" ref="D106">IFERROR(_xlfn.XLOOKUP($B106,'Brondata Woningen'!$B$7:$B$19,_xlfn.XLOOKUP(Berekeningen!D$101,'Brondata Woningen'!$C$6:$N$6,'Brondata Woningen'!$C$7:$N$19)),NA())</f>
        <v>1740</v>
      </c>
      <c r="E106" s="98" cm="1">
        <f t="array" ref="E106">IFERROR(_xlfn.XLOOKUP($B106,'Brondata Woningen'!$B$7:$B$19,_xlfn.XLOOKUP(Berekeningen!E$101,'Brondata Woningen'!$C$6:$N$6,'Brondata Woningen'!$C$7:$N$19)),NA())</f>
        <v>1580</v>
      </c>
      <c r="F106" s="98" cm="1">
        <f t="array" ref="F106">IFERROR(_xlfn.XLOOKUP($B106,'Brondata Woningen'!$B$7:$B$19,_xlfn.XLOOKUP(Berekeningen!F$101,'Brondata Woningen'!$C$6:$N$6,'Brondata Woningen'!$C$7:$N$19)),NA())</f>
        <v>1255</v>
      </c>
      <c r="G106" s="98" cm="1">
        <f t="array" ref="G106">IFERROR(_xlfn.XLOOKUP($B106,'Brondata Woningen'!$B$7:$B$19,_xlfn.XLOOKUP(Berekeningen!G$101,'Brondata Woningen'!$C$6:$N$6,'Brondata Woningen'!$C$7:$N$19)),NA())</f>
        <v>1465</v>
      </c>
      <c r="H106" s="98" t="e" cm="1">
        <f t="array" ref="H106">IFERROR(_xlfn.XLOOKUP($B106,'Brondata Woningen'!$B$7:$B$19,_xlfn.XLOOKUP(Berekeningen!H$101,'Brondata Woningen'!$C$6:$N$6,'Brondata Woningen'!$C$7:$N$19)),NA())</f>
        <v>#N/A</v>
      </c>
      <c r="I106" s="98" t="e" cm="1">
        <f t="array" ref="I106">IFERROR(_xlfn.XLOOKUP($B106,'Brondata Woningen'!$B$7:$B$19,_xlfn.XLOOKUP(Berekeningen!I$101,'Brondata Woningen'!$C$6:$N$6,'Brondata Woningen'!$C$7:$N$19)),NA())</f>
        <v>#N/A</v>
      </c>
      <c r="J106" s="98" t="e" cm="1">
        <f t="array" ref="J106">IFERROR(_xlfn.XLOOKUP($B106,'Brondata Woningen'!$B$7:$B$19,_xlfn.XLOOKUP(Berekeningen!J$101,'Brondata Woningen'!$C$6:$N$6,'Brondata Woningen'!$C$7:$N$19)),NA())</f>
        <v>#N/A</v>
      </c>
      <c r="K106" s="98" t="e" cm="1">
        <f t="array" ref="K106">IFERROR(_xlfn.XLOOKUP($B106,'Brondata Woningen'!$B$7:$B$19,_xlfn.XLOOKUP(Berekeningen!K$101,'Brondata Woningen'!$C$6:$N$6,'Brondata Woningen'!$C$7:$N$19)),NA())</f>
        <v>#N/A</v>
      </c>
      <c r="L106" s="98" t="e" cm="1">
        <f t="array" ref="L106">IFERROR(_xlfn.XLOOKUP($B106,'Brondata Woningen'!$B$7:$B$19,_xlfn.XLOOKUP(Berekeningen!L$101,'Brondata Woningen'!$C$6:$N$6,'Brondata Woningen'!$C$7:$N$19)),NA())</f>
        <v>#N/A</v>
      </c>
      <c r="M106" s="98" t="e" cm="1">
        <f t="array" ref="M106">IFERROR(_xlfn.XLOOKUP($B106,'Brondata Woningen'!$B$7:$B$19,_xlfn.XLOOKUP(Berekeningen!M$101,'Brondata Woningen'!$C$6:$N$6,'Brondata Woningen'!$C$7:$N$19)),NA())</f>
        <v>#N/A</v>
      </c>
      <c r="N106" s="98" t="e" cm="1">
        <f t="array" ref="N106">IFERROR(_xlfn.XLOOKUP($B106,'Brondata Woningen'!$B$7:$B$19,_xlfn.XLOOKUP(Berekeningen!N$101,'Brondata Woningen'!$C$6:$N$6,'Brondata Woningen'!$C$7:$N$19)),NA())</f>
        <v>#N/A</v>
      </c>
    </row>
    <row r="107" spans="2:14">
      <c r="B107" s="99" t="s">
        <v>53</v>
      </c>
      <c r="C107" s="98" cm="1">
        <f t="array" ref="C107">IFERROR(_xlfn.XLOOKUP($B107,'Brondata Woningen'!$B$7:$B$19,_xlfn.XLOOKUP(Berekeningen!C$101,'Brondata Woningen'!$C$6:$N$6,'Brondata Woningen'!$C$7:$N$19)),NA())</f>
        <v>1115</v>
      </c>
      <c r="D107" s="98" cm="1">
        <f t="array" ref="D107">IFERROR(_xlfn.XLOOKUP($B107,'Brondata Woningen'!$B$7:$B$19,_xlfn.XLOOKUP(Berekeningen!D$101,'Brondata Woningen'!$C$6:$N$6,'Brondata Woningen'!$C$7:$N$19)),NA())</f>
        <v>1210</v>
      </c>
      <c r="E107" s="98" cm="1">
        <f t="array" ref="E107">IFERROR(_xlfn.XLOOKUP($B107,'Brondata Woningen'!$B$7:$B$19,_xlfn.XLOOKUP(Berekeningen!E$101,'Brondata Woningen'!$C$6:$N$6,'Brondata Woningen'!$C$7:$N$19)),NA())</f>
        <v>1195</v>
      </c>
      <c r="F107" s="98" cm="1">
        <f t="array" ref="F107">IFERROR(_xlfn.XLOOKUP($B107,'Brondata Woningen'!$B$7:$B$19,_xlfn.XLOOKUP(Berekeningen!F$101,'Brondata Woningen'!$C$6:$N$6,'Brondata Woningen'!$C$7:$N$19)),NA())</f>
        <v>1005</v>
      </c>
      <c r="G107" s="98" cm="1">
        <f t="array" ref="G107">IFERROR(_xlfn.XLOOKUP($B107,'Brondata Woningen'!$B$7:$B$19,_xlfn.XLOOKUP(Berekeningen!G$101,'Brondata Woningen'!$C$6:$N$6,'Brondata Woningen'!$C$7:$N$19)),NA())</f>
        <v>850</v>
      </c>
      <c r="H107" s="98" t="e" cm="1">
        <f t="array" ref="H107">IFERROR(_xlfn.XLOOKUP($B107,'Brondata Woningen'!$B$7:$B$19,_xlfn.XLOOKUP(Berekeningen!H$101,'Brondata Woningen'!$C$6:$N$6,'Brondata Woningen'!$C$7:$N$19)),NA())</f>
        <v>#N/A</v>
      </c>
      <c r="I107" s="98" t="e" cm="1">
        <f t="array" ref="I107">IFERROR(_xlfn.XLOOKUP($B107,'Brondata Woningen'!$B$7:$B$19,_xlfn.XLOOKUP(Berekeningen!I$101,'Brondata Woningen'!$C$6:$N$6,'Brondata Woningen'!$C$7:$N$19)),NA())</f>
        <v>#N/A</v>
      </c>
      <c r="J107" s="98" t="e" cm="1">
        <f t="array" ref="J107">IFERROR(_xlfn.XLOOKUP($B107,'Brondata Woningen'!$B$7:$B$19,_xlfn.XLOOKUP(Berekeningen!J$101,'Brondata Woningen'!$C$6:$N$6,'Brondata Woningen'!$C$7:$N$19)),NA())</f>
        <v>#N/A</v>
      </c>
      <c r="K107" s="98" t="e" cm="1">
        <f t="array" ref="K107">IFERROR(_xlfn.XLOOKUP($B107,'Brondata Woningen'!$B$7:$B$19,_xlfn.XLOOKUP(Berekeningen!K$101,'Brondata Woningen'!$C$6:$N$6,'Brondata Woningen'!$C$7:$N$19)),NA())</f>
        <v>#N/A</v>
      </c>
      <c r="L107" s="98" t="e" cm="1">
        <f t="array" ref="L107">IFERROR(_xlfn.XLOOKUP($B107,'Brondata Woningen'!$B$7:$B$19,_xlfn.XLOOKUP(Berekeningen!L$101,'Brondata Woningen'!$C$6:$N$6,'Brondata Woningen'!$C$7:$N$19)),NA())</f>
        <v>#N/A</v>
      </c>
      <c r="M107" s="98" t="e" cm="1">
        <f t="array" ref="M107">IFERROR(_xlfn.XLOOKUP($B107,'Brondata Woningen'!$B$7:$B$19,_xlfn.XLOOKUP(Berekeningen!M$101,'Brondata Woningen'!$C$6:$N$6,'Brondata Woningen'!$C$7:$N$19)),NA())</f>
        <v>#N/A</v>
      </c>
      <c r="N107" s="98" t="e" cm="1">
        <f t="array" ref="N107">IFERROR(_xlfn.XLOOKUP($B107,'Brondata Woningen'!$B$7:$B$19,_xlfn.XLOOKUP(Berekeningen!N$101,'Brondata Woningen'!$C$6:$N$6,'Brondata Woningen'!$C$7:$N$19)),NA())</f>
        <v>#N/A</v>
      </c>
    </row>
    <row r="108" spans="2:14" ht="18" customHeight="1">
      <c r="B108" s="99" t="s">
        <v>54</v>
      </c>
      <c r="C108" s="98" cm="1">
        <f t="array" ref="C108">IFERROR(_xlfn.XLOOKUP($B108,'Brondata Woningen'!$B$7:$B$19,_xlfn.XLOOKUP(Berekeningen!C$101,'Brondata Woningen'!$C$6:$N$6,'Brondata Woningen'!$C$7:$N$19)),NA())</f>
        <v>460</v>
      </c>
      <c r="D108" s="98" cm="1">
        <f t="array" ref="D108">IFERROR(_xlfn.XLOOKUP($B108,'Brondata Woningen'!$B$7:$B$19,_xlfn.XLOOKUP(Berekeningen!D$101,'Brondata Woningen'!$C$6:$N$6,'Brondata Woningen'!$C$7:$N$19)),NA())</f>
        <v>500</v>
      </c>
      <c r="E108" s="98" cm="1">
        <f t="array" ref="E108">IFERROR(_xlfn.XLOOKUP($B108,'Brondata Woningen'!$B$7:$B$19,_xlfn.XLOOKUP(Berekeningen!E$101,'Brondata Woningen'!$C$6:$N$6,'Brondata Woningen'!$C$7:$N$19)),NA())</f>
        <v>590</v>
      </c>
      <c r="F108" s="98" cm="1">
        <f t="array" ref="F108">IFERROR(_xlfn.XLOOKUP($B108,'Brondata Woningen'!$B$7:$B$19,_xlfn.XLOOKUP(Berekeningen!F$101,'Brondata Woningen'!$C$6:$N$6,'Brondata Woningen'!$C$7:$N$19)),NA())</f>
        <v>560</v>
      </c>
      <c r="G108" s="98" cm="1">
        <f t="array" ref="G108">IFERROR(_xlfn.XLOOKUP($B108,'Brondata Woningen'!$B$7:$B$19,_xlfn.XLOOKUP(Berekeningen!G$101,'Brondata Woningen'!$C$6:$N$6,'Brondata Woningen'!$C$7:$N$19)),NA())</f>
        <v>555</v>
      </c>
      <c r="H108" s="98" t="e" cm="1">
        <f t="array" ref="H108">IFERROR(_xlfn.XLOOKUP($B108,'Brondata Woningen'!$B$7:$B$19,_xlfn.XLOOKUP(Berekeningen!H$101,'Brondata Woningen'!$C$6:$N$6,'Brondata Woningen'!$C$7:$N$19)),NA())</f>
        <v>#N/A</v>
      </c>
      <c r="I108" s="98" t="e" cm="1">
        <f t="array" ref="I108">IFERROR(_xlfn.XLOOKUP($B108,'Brondata Woningen'!$B$7:$B$19,_xlfn.XLOOKUP(Berekeningen!I$101,'Brondata Woningen'!$C$6:$N$6,'Brondata Woningen'!$C$7:$N$19)),NA())</f>
        <v>#N/A</v>
      </c>
      <c r="J108" s="98" t="e" cm="1">
        <f t="array" ref="J108">IFERROR(_xlfn.XLOOKUP($B108,'Brondata Woningen'!$B$7:$B$19,_xlfn.XLOOKUP(Berekeningen!J$101,'Brondata Woningen'!$C$6:$N$6,'Brondata Woningen'!$C$7:$N$19)),NA())</f>
        <v>#N/A</v>
      </c>
      <c r="K108" s="98" t="e" cm="1">
        <f t="array" ref="K108">IFERROR(_xlfn.XLOOKUP($B108,'Brondata Woningen'!$B$7:$B$19,_xlfn.XLOOKUP(Berekeningen!K$101,'Brondata Woningen'!$C$6:$N$6,'Brondata Woningen'!$C$7:$N$19)),NA())</f>
        <v>#N/A</v>
      </c>
      <c r="L108" s="98" t="e" cm="1">
        <f t="array" ref="L108">IFERROR(_xlfn.XLOOKUP($B108,'Brondata Woningen'!$B$7:$B$19,_xlfn.XLOOKUP(Berekeningen!L$101,'Brondata Woningen'!$C$6:$N$6,'Brondata Woningen'!$C$7:$N$19)),NA())</f>
        <v>#N/A</v>
      </c>
      <c r="M108" s="98" t="e" cm="1">
        <f t="array" ref="M108">IFERROR(_xlfn.XLOOKUP($B108,'Brondata Woningen'!$B$7:$B$19,_xlfn.XLOOKUP(Berekeningen!M$101,'Brondata Woningen'!$C$6:$N$6,'Brondata Woningen'!$C$7:$N$19)),NA())</f>
        <v>#N/A</v>
      </c>
      <c r="N108" s="98" t="e" cm="1">
        <f t="array" ref="N108">IFERROR(_xlfn.XLOOKUP($B108,'Brondata Woningen'!$B$7:$B$19,_xlfn.XLOOKUP(Berekeningen!N$101,'Brondata Woningen'!$C$6:$N$6,'Brondata Woningen'!$C$7:$N$19)),NA())</f>
        <v>#N/A</v>
      </c>
    </row>
    <row r="109" spans="2:14">
      <c r="B109" s="99" t="s">
        <v>55</v>
      </c>
      <c r="C109" s="98" cm="1">
        <f t="array" ref="C109">IFERROR(_xlfn.XLOOKUP($B109,'Brondata Woningen'!$B$7:$B$19,_xlfn.XLOOKUP(Berekeningen!C$101,'Brondata Woningen'!$C$6:$N$6,'Brondata Woningen'!$C$7:$N$19)),NA())</f>
        <v>355</v>
      </c>
      <c r="D109" s="98" cm="1">
        <f t="array" ref="D109">IFERROR(_xlfn.XLOOKUP($B109,'Brondata Woningen'!$B$7:$B$19,_xlfn.XLOOKUP(Berekeningen!D$101,'Brondata Woningen'!$C$6:$N$6,'Brondata Woningen'!$C$7:$N$19)),NA())</f>
        <v>450</v>
      </c>
      <c r="E109" s="98" cm="1">
        <f t="array" ref="E109">IFERROR(_xlfn.XLOOKUP($B109,'Brondata Woningen'!$B$7:$B$19,_xlfn.XLOOKUP(Berekeningen!E$101,'Brondata Woningen'!$C$6:$N$6,'Brondata Woningen'!$C$7:$N$19)),NA())</f>
        <v>530</v>
      </c>
      <c r="F109" s="98" cm="1">
        <f t="array" ref="F109">IFERROR(_xlfn.XLOOKUP($B109,'Brondata Woningen'!$B$7:$B$19,_xlfn.XLOOKUP(Berekeningen!F$101,'Brondata Woningen'!$C$6:$N$6,'Brondata Woningen'!$C$7:$N$19)),NA())</f>
        <v>580</v>
      </c>
      <c r="G109" s="98" cm="1">
        <f t="array" ref="G109">IFERROR(_xlfn.XLOOKUP($B109,'Brondata Woningen'!$B$7:$B$19,_xlfn.XLOOKUP(Berekeningen!G$101,'Brondata Woningen'!$C$6:$N$6,'Brondata Woningen'!$C$7:$N$19)),NA())</f>
        <v>580</v>
      </c>
      <c r="H109" s="98" t="e" cm="1">
        <f t="array" ref="H109">IFERROR(_xlfn.XLOOKUP($B109,'Brondata Woningen'!$B$7:$B$19,_xlfn.XLOOKUP(Berekeningen!H$101,'Brondata Woningen'!$C$6:$N$6,'Brondata Woningen'!$C$7:$N$19)),NA())</f>
        <v>#N/A</v>
      </c>
      <c r="I109" s="98" t="e" cm="1">
        <f t="array" ref="I109">IFERROR(_xlfn.XLOOKUP($B109,'Brondata Woningen'!$B$7:$B$19,_xlfn.XLOOKUP(Berekeningen!I$101,'Brondata Woningen'!$C$6:$N$6,'Brondata Woningen'!$C$7:$N$19)),NA())</f>
        <v>#N/A</v>
      </c>
      <c r="J109" s="98" t="e" cm="1">
        <f t="array" ref="J109">IFERROR(_xlfn.XLOOKUP($B109,'Brondata Woningen'!$B$7:$B$19,_xlfn.XLOOKUP(Berekeningen!J$101,'Brondata Woningen'!$C$6:$N$6,'Brondata Woningen'!$C$7:$N$19)),NA())</f>
        <v>#N/A</v>
      </c>
      <c r="K109" s="98" t="e" cm="1">
        <f t="array" ref="K109">IFERROR(_xlfn.XLOOKUP($B109,'Brondata Woningen'!$B$7:$B$19,_xlfn.XLOOKUP(Berekeningen!K$101,'Brondata Woningen'!$C$6:$N$6,'Brondata Woningen'!$C$7:$N$19)),NA())</f>
        <v>#N/A</v>
      </c>
      <c r="L109" s="98" t="e" cm="1">
        <f t="array" ref="L109">IFERROR(_xlfn.XLOOKUP($B109,'Brondata Woningen'!$B$7:$B$19,_xlfn.XLOOKUP(Berekeningen!L$101,'Brondata Woningen'!$C$6:$N$6,'Brondata Woningen'!$C$7:$N$19)),NA())</f>
        <v>#N/A</v>
      </c>
      <c r="M109" s="98" t="e" cm="1">
        <f t="array" ref="M109">IFERROR(_xlfn.XLOOKUP($B109,'Brondata Woningen'!$B$7:$B$19,_xlfn.XLOOKUP(Berekeningen!M$101,'Brondata Woningen'!$C$6:$N$6,'Brondata Woningen'!$C$7:$N$19)),NA())</f>
        <v>#N/A</v>
      </c>
      <c r="N109" s="98" t="e" cm="1">
        <f t="array" ref="N109">IFERROR(_xlfn.XLOOKUP($B109,'Brondata Woningen'!$B$7:$B$19,_xlfn.XLOOKUP(Berekeningen!N$101,'Brondata Woningen'!$C$6:$N$6,'Brondata Woningen'!$C$7:$N$19)),NA())</f>
        <v>#N/A</v>
      </c>
    </row>
    <row r="110" spans="2:14">
      <c r="B110" s="99" t="s">
        <v>158</v>
      </c>
      <c r="C110" s="98">
        <f>IF(SUM(C103:C109)=0,NA(),SUM(C103:C109))</f>
        <v>10630</v>
      </c>
      <c r="D110" s="98">
        <f t="shared" ref="D110:N110" si="21">IF(SUM(D103:D109)=0,NA(),SUM(D103:D109))</f>
        <v>12040</v>
      </c>
      <c r="E110" s="98">
        <f t="shared" si="21"/>
        <v>12395</v>
      </c>
      <c r="F110" s="98">
        <f t="shared" si="21"/>
        <v>12495</v>
      </c>
      <c r="G110" s="98">
        <f t="shared" si="21"/>
        <v>12995</v>
      </c>
      <c r="H110" s="98" t="e">
        <f t="shared" si="21"/>
        <v>#N/A</v>
      </c>
      <c r="I110" s="98" t="e">
        <f t="shared" si="21"/>
        <v>#N/A</v>
      </c>
      <c r="J110" s="98" t="e">
        <f t="shared" si="21"/>
        <v>#N/A</v>
      </c>
      <c r="K110" s="98" t="e">
        <f t="shared" si="21"/>
        <v>#N/A</v>
      </c>
      <c r="L110" s="98" t="e">
        <f t="shared" si="21"/>
        <v>#N/A</v>
      </c>
      <c r="M110" s="98" t="e">
        <f t="shared" si="21"/>
        <v>#N/A</v>
      </c>
      <c r="N110" s="98" t="e">
        <f t="shared" si="21"/>
        <v>#N/A</v>
      </c>
    </row>
    <row r="111" spans="2:14">
      <c r="B111" s="99" t="s">
        <v>191</v>
      </c>
      <c r="C111" s="98">
        <f>IF(C102-C110=0,NA(),C102-C110)</f>
        <v>8650</v>
      </c>
      <c r="D111" s="98">
        <f t="shared" ref="D111:N111" si="22">IF(D102-D110=0,NA(),D102-D110)</f>
        <v>7363</v>
      </c>
      <c r="E111" s="98">
        <f t="shared" si="22"/>
        <v>7116</v>
      </c>
      <c r="F111" s="98">
        <f t="shared" si="22"/>
        <v>7133</v>
      </c>
      <c r="G111" s="98">
        <f t="shared" si="22"/>
        <v>6911</v>
      </c>
      <c r="H111" s="98" t="e">
        <f t="shared" si="22"/>
        <v>#N/A</v>
      </c>
      <c r="I111" s="98" t="e">
        <f t="shared" si="22"/>
        <v>#N/A</v>
      </c>
      <c r="J111" s="98" t="e">
        <f t="shared" si="22"/>
        <v>#N/A</v>
      </c>
      <c r="K111" s="98" t="e">
        <f t="shared" si="22"/>
        <v>#N/A</v>
      </c>
      <c r="L111" s="98" t="e">
        <f t="shared" si="22"/>
        <v>#N/A</v>
      </c>
      <c r="M111" s="98" t="e">
        <f t="shared" si="22"/>
        <v>#N/A</v>
      </c>
      <c r="N111" s="98" t="e">
        <f t="shared" si="22"/>
        <v>#N/A</v>
      </c>
    </row>
    <row r="114" spans="2:14">
      <c r="B114" s="96" t="s">
        <v>192</v>
      </c>
      <c r="C114" s="38">
        <v>2019</v>
      </c>
      <c r="D114" s="38">
        <v>2020</v>
      </c>
      <c r="E114" s="38">
        <v>2021</v>
      </c>
      <c r="F114" s="38">
        <v>2022</v>
      </c>
      <c r="G114" s="38">
        <v>2023</v>
      </c>
      <c r="H114" s="38">
        <v>2024</v>
      </c>
      <c r="I114" s="38">
        <v>2025</v>
      </c>
      <c r="J114" s="38">
        <v>2026</v>
      </c>
      <c r="K114" s="38">
        <v>2027</v>
      </c>
      <c r="L114" s="38">
        <v>2028</v>
      </c>
      <c r="M114" s="38">
        <v>2029</v>
      </c>
      <c r="N114" s="38">
        <v>2030</v>
      </c>
    </row>
    <row r="115" spans="2:14">
      <c r="B115" s="100" t="s">
        <v>44</v>
      </c>
      <c r="C115" s="98" cm="1">
        <f t="array" ref="C115">IFERROR(_xlfn.XLOOKUP($B115,'Brondata Woningen'!$B$7:$B$19,_xlfn.XLOOKUP(Berekeningen!C$114,'Brondata Woningen'!$C$6:$N$6,'Brondata Woningen'!$C$7:$N$19)),NA())</f>
        <v>18470</v>
      </c>
      <c r="D115" s="98" cm="1">
        <f t="array" ref="D115">IFERROR(_xlfn.XLOOKUP($B115,'Brondata Woningen'!$B$7:$B$19,_xlfn.XLOOKUP(Berekeningen!D$114,'Brondata Woningen'!$C$6:$N$6,'Brondata Woningen'!$C$7:$N$19)),NA())</f>
        <v>18704</v>
      </c>
      <c r="E115" s="98" cm="1">
        <f t="array" ref="E115">IFERROR(_xlfn.XLOOKUP($B115,'Brondata Woningen'!$B$7:$B$19,_xlfn.XLOOKUP(Berekeningen!E$114,'Brondata Woningen'!$C$6:$N$6,'Brondata Woningen'!$C$7:$N$19)),NA())</f>
        <v>18789</v>
      </c>
      <c r="F115" s="98" cm="1">
        <f t="array" ref="F115">IFERROR(_xlfn.XLOOKUP($B115,'Brondata Woningen'!$B$7:$B$19,_xlfn.XLOOKUP(Berekeningen!F$114,'Brondata Woningen'!$C$6:$N$6,'Brondata Woningen'!$C$7:$N$19)),NA())</f>
        <v>19059</v>
      </c>
      <c r="G115" s="98" cm="1">
        <f t="array" ref="G115">IFERROR(_xlfn.XLOOKUP($B115,'Brondata Woningen'!$B$7:$B$19,_xlfn.XLOOKUP(Berekeningen!G$114,'Brondata Woningen'!$C$6:$N$6,'Brondata Woningen'!$C$7:$N$19)),NA())</f>
        <v>18951</v>
      </c>
      <c r="H115" s="98" t="e" cm="1">
        <f t="array" ref="H115">IFERROR(_xlfn.XLOOKUP($B115,'Brondata Woningen'!$B$7:$B$19,_xlfn.XLOOKUP(Berekeningen!H$114,'Brondata Woningen'!$C$6:$N$6,'Brondata Woningen'!$C$7:$N$19)),NA())</f>
        <v>#N/A</v>
      </c>
      <c r="I115" s="98" t="e" cm="1">
        <f t="array" ref="I115">IFERROR(_xlfn.XLOOKUP($B115,'Brondata Woningen'!$B$7:$B$19,_xlfn.XLOOKUP(Berekeningen!I$114,'Brondata Woningen'!$C$6:$N$6,'Brondata Woningen'!$C$7:$N$19)),NA())</f>
        <v>#N/A</v>
      </c>
      <c r="J115" s="98" t="e" cm="1">
        <f t="array" ref="J115">IFERROR(_xlfn.XLOOKUP($B115,'Brondata Woningen'!$B$7:$B$19,_xlfn.XLOOKUP(Berekeningen!J$114,'Brondata Woningen'!$C$6:$N$6,'Brondata Woningen'!$C$7:$N$19)),NA())</f>
        <v>#N/A</v>
      </c>
      <c r="K115" s="98" t="e" cm="1">
        <f t="array" ref="K115">IFERROR(_xlfn.XLOOKUP($B115,'Brondata Woningen'!$B$7:$B$19,_xlfn.XLOOKUP(Berekeningen!K$114,'Brondata Woningen'!$C$6:$N$6,'Brondata Woningen'!$C$7:$N$19)),NA())</f>
        <v>#N/A</v>
      </c>
      <c r="L115" s="98" t="e" cm="1">
        <f t="array" ref="L115">IFERROR(_xlfn.XLOOKUP($B115,'Brondata Woningen'!$B$7:$B$19,_xlfn.XLOOKUP(Berekeningen!L$114,'Brondata Woningen'!$C$6:$N$6,'Brondata Woningen'!$C$7:$N$19)),NA())</f>
        <v>#N/A</v>
      </c>
      <c r="M115" s="98" t="e" cm="1">
        <f t="array" ref="M115">IFERROR(_xlfn.XLOOKUP($B115,'Brondata Woningen'!$B$7:$B$19,_xlfn.XLOOKUP(Berekeningen!M$114,'Brondata Woningen'!$C$6:$N$6,'Brondata Woningen'!$C$7:$N$19)),NA())</f>
        <v>#N/A</v>
      </c>
      <c r="N115" s="98" t="e" cm="1">
        <f t="array" ref="N115">IFERROR(_xlfn.XLOOKUP($B115,'Brondata Woningen'!$B$7:$B$19,_xlfn.XLOOKUP(Berekeningen!N$114,'Brondata Woningen'!$C$6:$N$6,'Brondata Woningen'!$C$7:$N$19)),NA())</f>
        <v>#N/A</v>
      </c>
    </row>
    <row r="116" spans="2:14">
      <c r="B116" s="100" t="s">
        <v>46</v>
      </c>
      <c r="C116" s="98" cm="1">
        <f t="array" ref="C116">IFERROR(_xlfn.XLOOKUP($B116,'Brondata Woningen'!$B$7:$B$19,_xlfn.XLOOKUP(Berekeningen!C$114,'Brondata Woningen'!$C$6:$N$6,'Brondata Woningen'!$C$7:$N$19)),NA())</f>
        <v>0</v>
      </c>
      <c r="D116" s="98" cm="1">
        <f t="array" ref="D116">IFERROR(_xlfn.XLOOKUP($B116,'Brondata Woningen'!$B$7:$B$19,_xlfn.XLOOKUP(Berekeningen!D$114,'Brondata Woningen'!$C$6:$N$6,'Brondata Woningen'!$C$7:$N$19)),NA())</f>
        <v>0</v>
      </c>
      <c r="E116" s="98" cm="1">
        <f t="array" ref="E116">IFERROR(_xlfn.XLOOKUP($B116,'Brondata Woningen'!$B$7:$B$19,_xlfn.XLOOKUP(Berekeningen!E$114,'Brondata Woningen'!$C$6:$N$6,'Brondata Woningen'!$C$7:$N$19)),NA())</f>
        <v>0</v>
      </c>
      <c r="F116" s="98" cm="1">
        <f t="array" ref="F116">IFERROR(_xlfn.XLOOKUP($B116,'Brondata Woningen'!$B$7:$B$19,_xlfn.XLOOKUP(Berekeningen!F$114,'Brondata Woningen'!$C$6:$N$6,'Brondata Woningen'!$C$7:$N$19)),NA())</f>
        <v>0</v>
      </c>
      <c r="G116" s="98" cm="1">
        <f t="array" ref="G116">IFERROR(_xlfn.XLOOKUP($B116,'Brondata Woningen'!$B$7:$B$19,_xlfn.XLOOKUP(Berekeningen!G$114,'Brondata Woningen'!$C$6:$N$6,'Brondata Woningen'!$C$7:$N$19)),NA())</f>
        <v>0</v>
      </c>
      <c r="H116" s="98" t="e" cm="1">
        <f t="array" ref="H116">IFERROR(_xlfn.XLOOKUP($B116,'Brondata Woningen'!$B$7:$B$19,_xlfn.XLOOKUP(Berekeningen!H$114,'Brondata Woningen'!$C$6:$N$6,'Brondata Woningen'!$C$7:$N$19)),NA())</f>
        <v>#N/A</v>
      </c>
      <c r="I116" s="98" t="e" cm="1">
        <f t="array" ref="I116">IFERROR(_xlfn.XLOOKUP($B116,'Brondata Woningen'!$B$7:$B$19,_xlfn.XLOOKUP(Berekeningen!I$114,'Brondata Woningen'!$C$6:$N$6,'Brondata Woningen'!$C$7:$N$19)),NA())</f>
        <v>#N/A</v>
      </c>
      <c r="J116" s="98" t="e" cm="1">
        <f t="array" ref="J116">IFERROR(_xlfn.XLOOKUP($B116,'Brondata Woningen'!$B$7:$B$19,_xlfn.XLOOKUP(Berekeningen!J$114,'Brondata Woningen'!$C$6:$N$6,'Brondata Woningen'!$C$7:$N$19)),NA())</f>
        <v>#N/A</v>
      </c>
      <c r="K116" s="98" t="e" cm="1">
        <f t="array" ref="K116">IFERROR(_xlfn.XLOOKUP($B116,'Brondata Woningen'!$B$7:$B$19,_xlfn.XLOOKUP(Berekeningen!K$114,'Brondata Woningen'!$C$6:$N$6,'Brondata Woningen'!$C$7:$N$19)),NA())</f>
        <v>#N/A</v>
      </c>
      <c r="L116" s="98" t="e" cm="1">
        <f t="array" ref="L116">IFERROR(_xlfn.XLOOKUP($B116,'Brondata Woningen'!$B$7:$B$19,_xlfn.XLOOKUP(Berekeningen!L$114,'Brondata Woningen'!$C$6:$N$6,'Brondata Woningen'!$C$7:$N$19)),NA())</f>
        <v>#N/A</v>
      </c>
      <c r="M116" s="98" t="e" cm="1">
        <f t="array" ref="M116">IFERROR(_xlfn.XLOOKUP($B116,'Brondata Woningen'!$B$7:$B$19,_xlfn.XLOOKUP(Berekeningen!M$114,'Brondata Woningen'!$C$6:$N$6,'Brondata Woningen'!$C$7:$N$19)),NA())</f>
        <v>#N/A</v>
      </c>
      <c r="N116" s="98" t="e" cm="1">
        <f t="array" ref="N116">IFERROR(_xlfn.XLOOKUP($B116,'Brondata Woningen'!$B$7:$B$19,_xlfn.XLOOKUP(Berekeningen!N$114,'Brondata Woningen'!$C$6:$N$6,'Brondata Woningen'!$C$7:$N$19)),NA())</f>
        <v>#N/A</v>
      </c>
    </row>
    <row r="117" spans="2:14">
      <c r="B117" s="100" t="s">
        <v>45</v>
      </c>
      <c r="C117" s="98" cm="1">
        <f t="array" ref="C117">IFERROR(_xlfn.XLOOKUP($B117,'Brondata Woningen'!$B$7:$B$19,_xlfn.XLOOKUP(Berekeningen!C$114,'Brondata Woningen'!$C$6:$N$6,'Brondata Woningen'!$C$7:$N$19)),NA())</f>
        <v>135</v>
      </c>
      <c r="D117" s="98" cm="1">
        <f t="array" ref="D117">IFERROR(_xlfn.XLOOKUP($B117,'Brondata Woningen'!$B$7:$B$19,_xlfn.XLOOKUP(Berekeningen!D$114,'Brondata Woningen'!$C$6:$N$6,'Brondata Woningen'!$C$7:$N$19)),NA())</f>
        <v>194</v>
      </c>
      <c r="E117" s="98" cm="1">
        <f t="array" ref="E117">IFERROR(_xlfn.XLOOKUP($B117,'Brondata Woningen'!$B$7:$B$19,_xlfn.XLOOKUP(Berekeningen!E$114,'Brondata Woningen'!$C$6:$N$6,'Brondata Woningen'!$C$7:$N$19)),NA())</f>
        <v>215</v>
      </c>
      <c r="F117" s="98" cm="1">
        <f t="array" ref="F117">IFERROR(_xlfn.XLOOKUP($B117,'Brondata Woningen'!$B$7:$B$19,_xlfn.XLOOKUP(Berekeningen!F$114,'Brondata Woningen'!$C$6:$N$6,'Brondata Woningen'!$C$7:$N$19)),NA())</f>
        <v>393</v>
      </c>
      <c r="G117" s="98" cm="1">
        <f t="array" ref="G117">IFERROR(_xlfn.XLOOKUP($B117,'Brondata Woningen'!$B$7:$B$19,_xlfn.XLOOKUP(Berekeningen!G$114,'Brondata Woningen'!$C$6:$N$6,'Brondata Woningen'!$C$7:$N$19)),NA())</f>
        <v>756</v>
      </c>
      <c r="H117" s="98" t="e" cm="1">
        <f t="array" ref="H117">IFERROR(_xlfn.XLOOKUP($B117,'Brondata Woningen'!$B$7:$B$19,_xlfn.XLOOKUP(Berekeningen!H$114,'Brondata Woningen'!$C$6:$N$6,'Brondata Woningen'!$C$7:$N$19)),NA())</f>
        <v>#N/A</v>
      </c>
      <c r="I117" s="98" t="e" cm="1">
        <f t="array" ref="I117">IFERROR(_xlfn.XLOOKUP($B117,'Brondata Woningen'!$B$7:$B$19,_xlfn.XLOOKUP(Berekeningen!I$114,'Brondata Woningen'!$C$6:$N$6,'Brondata Woningen'!$C$7:$N$19)),NA())</f>
        <v>#N/A</v>
      </c>
      <c r="J117" s="98" t="e" cm="1">
        <f t="array" ref="J117">IFERROR(_xlfn.XLOOKUP($B117,'Brondata Woningen'!$B$7:$B$19,_xlfn.XLOOKUP(Berekeningen!J$114,'Brondata Woningen'!$C$6:$N$6,'Brondata Woningen'!$C$7:$N$19)),NA())</f>
        <v>#N/A</v>
      </c>
      <c r="K117" s="98" t="e" cm="1">
        <f t="array" ref="K117">IFERROR(_xlfn.XLOOKUP($B117,'Brondata Woningen'!$B$7:$B$19,_xlfn.XLOOKUP(Berekeningen!K$114,'Brondata Woningen'!$C$6:$N$6,'Brondata Woningen'!$C$7:$N$19)),NA())</f>
        <v>#N/A</v>
      </c>
      <c r="L117" s="98" t="e" cm="1">
        <f t="array" ref="L117">IFERROR(_xlfn.XLOOKUP($B117,'Brondata Woningen'!$B$7:$B$19,_xlfn.XLOOKUP(Berekeningen!L$114,'Brondata Woningen'!$C$6:$N$6,'Brondata Woningen'!$C$7:$N$19)),NA())</f>
        <v>#N/A</v>
      </c>
      <c r="M117" s="98" t="e" cm="1">
        <f t="array" ref="M117">IFERROR(_xlfn.XLOOKUP($B117,'Brondata Woningen'!$B$7:$B$19,_xlfn.XLOOKUP(Berekeningen!M$114,'Brondata Woningen'!$C$6:$N$6,'Brondata Woningen'!$C$7:$N$19)),NA())</f>
        <v>#N/A</v>
      </c>
      <c r="N117" s="98" t="e" cm="1">
        <f t="array" ref="N117">IFERROR(_xlfn.XLOOKUP($B117,'Brondata Woningen'!$B$7:$B$19,_xlfn.XLOOKUP(Berekeningen!N$114,'Brondata Woningen'!$C$6:$N$6,'Brondata Woningen'!$C$7:$N$19)),NA())</f>
        <v>#N/A</v>
      </c>
    </row>
    <row r="118" spans="2:14">
      <c r="B118" s="100" t="s">
        <v>47</v>
      </c>
      <c r="C118" s="98" cm="1">
        <f t="array" ref="C118">IFERROR(_xlfn.XLOOKUP($B118,'Brondata Woningen'!$B$7:$B$19,_xlfn.XLOOKUP(Berekeningen!C$114,'Brondata Woningen'!$C$6:$N$6,'Brondata Woningen'!$C$7:$N$19)),NA())</f>
        <v>675</v>
      </c>
      <c r="D118" s="98" cm="1">
        <f t="array" ref="D118">IFERROR(_xlfn.XLOOKUP($B118,'Brondata Woningen'!$B$7:$B$19,_xlfn.XLOOKUP(Berekeningen!D$114,'Brondata Woningen'!$C$6:$N$6,'Brondata Woningen'!$C$7:$N$19)),NA())</f>
        <v>504</v>
      </c>
      <c r="E118" s="98" cm="1">
        <f t="array" ref="E118">IFERROR(_xlfn.XLOOKUP($B118,'Brondata Woningen'!$B$7:$B$19,_xlfn.XLOOKUP(Berekeningen!E$114,'Brondata Woningen'!$C$6:$N$6,'Brondata Woningen'!$C$7:$N$19)),NA())</f>
        <v>507</v>
      </c>
      <c r="F118" s="98" cm="1">
        <f t="array" ref="F118">IFERROR(_xlfn.XLOOKUP($B118,'Brondata Woningen'!$B$7:$B$19,_xlfn.XLOOKUP(Berekeningen!F$114,'Brondata Woningen'!$C$6:$N$6,'Brondata Woningen'!$C$7:$N$19)),NA())</f>
        <v>177</v>
      </c>
      <c r="G118" s="98" cm="1">
        <f t="array" ref="G118">IFERROR(_xlfn.XLOOKUP($B118,'Brondata Woningen'!$B$7:$B$19,_xlfn.XLOOKUP(Berekeningen!G$114,'Brondata Woningen'!$C$6:$N$6,'Brondata Woningen'!$C$7:$N$19)),NA())</f>
        <v>199</v>
      </c>
      <c r="H118" s="98" t="e" cm="1">
        <f t="array" ref="H118">IFERROR(_xlfn.XLOOKUP($B118,'Brondata Woningen'!$B$7:$B$19,_xlfn.XLOOKUP(Berekeningen!H$114,'Brondata Woningen'!$C$6:$N$6,'Brondata Woningen'!$C$7:$N$19)),NA())</f>
        <v>#N/A</v>
      </c>
      <c r="I118" s="98" t="e" cm="1">
        <f t="array" ref="I118">IFERROR(_xlfn.XLOOKUP($B118,'Brondata Woningen'!$B$7:$B$19,_xlfn.XLOOKUP(Berekeningen!I$114,'Brondata Woningen'!$C$6:$N$6,'Brondata Woningen'!$C$7:$N$19)),NA())</f>
        <v>#N/A</v>
      </c>
      <c r="J118" s="98" t="e" cm="1">
        <f t="array" ref="J118">IFERROR(_xlfn.XLOOKUP($B118,'Brondata Woningen'!$B$7:$B$19,_xlfn.XLOOKUP(Berekeningen!J$114,'Brondata Woningen'!$C$6:$N$6,'Brondata Woningen'!$C$7:$N$19)),NA())</f>
        <v>#N/A</v>
      </c>
      <c r="K118" s="98" t="e" cm="1">
        <f t="array" ref="K118">IFERROR(_xlfn.XLOOKUP($B118,'Brondata Woningen'!$B$7:$B$19,_xlfn.XLOOKUP(Berekeningen!K$114,'Brondata Woningen'!$C$6:$N$6,'Brondata Woningen'!$C$7:$N$19)),NA())</f>
        <v>#N/A</v>
      </c>
      <c r="L118" s="98" t="e" cm="1">
        <f t="array" ref="L118">IFERROR(_xlfn.XLOOKUP($B118,'Brondata Woningen'!$B$7:$B$19,_xlfn.XLOOKUP(Berekeningen!L$114,'Brondata Woningen'!$C$6:$N$6,'Brondata Woningen'!$C$7:$N$19)),NA())</f>
        <v>#N/A</v>
      </c>
      <c r="M118" s="98" t="e" cm="1">
        <f t="array" ref="M118">IFERROR(_xlfn.XLOOKUP($B118,'Brondata Woningen'!$B$7:$B$19,_xlfn.XLOOKUP(Berekeningen!M$114,'Brondata Woningen'!$C$6:$N$6,'Brondata Woningen'!$C$7:$N$19)),NA())</f>
        <v>#N/A</v>
      </c>
      <c r="N118" s="98" t="e" cm="1">
        <f t="array" ref="N118">IFERROR(_xlfn.XLOOKUP($B118,'Brondata Woningen'!$B$7:$B$19,_xlfn.XLOOKUP(Berekeningen!N$114,'Brondata Woningen'!$C$6:$N$6,'Brondata Woningen'!$C$7:$N$19)),NA())</f>
        <v>#N/A</v>
      </c>
    </row>
    <row r="119" spans="2:14">
      <c r="B119" s="99" t="s">
        <v>48</v>
      </c>
      <c r="C119" s="40" cm="1">
        <f t="array" ref="C119">IFERROR(_xlfn.XLOOKUP($B119,'Brondata Woningen'!$B$7:$B$19,_xlfn.XLOOKUP(Berekeningen!C$114,'Brondata Woningen'!$C$6:$N$6,'Brondata Woningen'!$C$7:$N$19)),NA())</f>
        <v>0.54800000000000004</v>
      </c>
      <c r="D119" s="40" cm="1">
        <f t="array" ref="D119">IFERROR(_xlfn.XLOOKUP($B119,'Brondata Woningen'!$B$7:$B$19,_xlfn.XLOOKUP(Berekeningen!D$114,'Brondata Woningen'!$C$6:$N$6,'Brondata Woningen'!$C$7:$N$19)),NA())</f>
        <v>0.61699999999999999</v>
      </c>
      <c r="E119" s="40" cm="1">
        <f t="array" ref="E119">IFERROR(_xlfn.XLOOKUP($B119,'Brondata Woningen'!$B$7:$B$19,_xlfn.XLOOKUP(Berekeningen!E$114,'Brondata Woningen'!$C$6:$N$6,'Brondata Woningen'!$C$7:$N$19)),NA())</f>
        <v>0.63100000000000001</v>
      </c>
      <c r="F119" s="40" cm="1">
        <f t="array" ref="F119">IFERROR(_xlfn.XLOOKUP($B119,'Brondata Woningen'!$B$7:$B$19,_xlfn.XLOOKUP(Berekeningen!F$114,'Brondata Woningen'!$C$6:$N$6,'Brondata Woningen'!$C$7:$N$19)),NA())</f>
        <v>0.63600000000000001</v>
      </c>
      <c r="G119" s="40" cm="1">
        <f t="array" ref="G119">IFERROR(_xlfn.XLOOKUP($B119,'Brondata Woningen'!$B$7:$B$19,_xlfn.XLOOKUP(Berekeningen!G$114,'Brondata Woningen'!$C$6:$N$6,'Brondata Woningen'!$C$7:$N$19)),NA())</f>
        <v>0.64900000000000002</v>
      </c>
      <c r="H119" s="40" t="e" cm="1">
        <f t="array" ref="H119">IFERROR(_xlfn.XLOOKUP($B119,'Brondata Woningen'!$B$7:$B$19,_xlfn.XLOOKUP(Berekeningen!H$114,'Brondata Woningen'!$C$6:$N$6,'Brondata Woningen'!$C$7:$N$19)),NA())</f>
        <v>#N/A</v>
      </c>
      <c r="I119" s="40" t="e" cm="1">
        <f t="array" ref="I119">IFERROR(_xlfn.XLOOKUP($B119,'Brondata Woningen'!$B$7:$B$19,_xlfn.XLOOKUP(Berekeningen!I$114,'Brondata Woningen'!$C$6:$N$6,'Brondata Woningen'!$C$7:$N$19)),NA())</f>
        <v>#N/A</v>
      </c>
      <c r="J119" s="40" t="e" cm="1">
        <f t="array" ref="J119">IFERROR(_xlfn.XLOOKUP($B119,'Brondata Woningen'!$B$7:$B$19,_xlfn.XLOOKUP(Berekeningen!J$114,'Brondata Woningen'!$C$6:$N$6,'Brondata Woningen'!$C$7:$N$19)),NA())</f>
        <v>#N/A</v>
      </c>
      <c r="K119" s="40" t="e" cm="1">
        <f t="array" ref="K119">IFERROR(_xlfn.XLOOKUP($B119,'Brondata Woningen'!$B$7:$B$19,_xlfn.XLOOKUP(Berekeningen!K$114,'Brondata Woningen'!$C$6:$N$6,'Brondata Woningen'!$C$7:$N$19)),NA())</f>
        <v>#N/A</v>
      </c>
      <c r="L119" s="40" t="e" cm="1">
        <f t="array" ref="L119">IFERROR(_xlfn.XLOOKUP($B119,'Brondata Woningen'!$B$7:$B$19,_xlfn.XLOOKUP(Berekeningen!L$114,'Brondata Woningen'!$C$6:$N$6,'Brondata Woningen'!$C$7:$N$19)),NA())</f>
        <v>#N/A</v>
      </c>
      <c r="M119" s="40" t="e" cm="1">
        <f t="array" ref="M119">IFERROR(_xlfn.XLOOKUP($B119,'Brondata Woningen'!$B$7:$B$19,_xlfn.XLOOKUP(Berekeningen!M$114,'Brondata Woningen'!$C$6:$N$6,'Brondata Woningen'!$C$7:$N$19)),NA())</f>
        <v>#N/A</v>
      </c>
      <c r="N119" s="40" t="e" cm="1">
        <f t="array" ref="N119">IFERROR(_xlfn.XLOOKUP($B119,'Brondata Woningen'!$B$7:$B$19,_xlfn.XLOOKUP(Berekeningen!N$114,'Brondata Woningen'!$C$6:$N$6,'Brondata Woningen'!$C$7:$N$19)),NA())</f>
        <v>#N/A</v>
      </c>
    </row>
    <row r="120" spans="2:14">
      <c r="B120" s="99" t="s">
        <v>544</v>
      </c>
      <c r="C120" s="40">
        <f>IFERROR((SUM(C116:C117)/C102),NA())</f>
        <v>7.0020746887966808E-3</v>
      </c>
      <c r="D120" s="40">
        <f t="shared" ref="D120:N120" si="23">IFERROR((SUM(D116:D117)/D102),NA())</f>
        <v>9.9984538473431948E-3</v>
      </c>
      <c r="E120" s="40">
        <f t="shared" si="23"/>
        <v>1.1019424939777561E-2</v>
      </c>
      <c r="F120" s="40">
        <f t="shared" si="23"/>
        <v>2.0022416955369878E-2</v>
      </c>
      <c r="G120" s="40">
        <f t="shared" si="23"/>
        <v>3.7978498945041697E-2</v>
      </c>
      <c r="H120" s="40" t="e">
        <f t="shared" si="23"/>
        <v>#N/A</v>
      </c>
      <c r="I120" s="40" t="e">
        <f t="shared" si="23"/>
        <v>#N/A</v>
      </c>
      <c r="J120" s="40" t="e">
        <f t="shared" si="23"/>
        <v>#N/A</v>
      </c>
      <c r="K120" s="40" t="e">
        <f t="shared" si="23"/>
        <v>#N/A</v>
      </c>
      <c r="L120" s="40" t="e">
        <f t="shared" si="23"/>
        <v>#N/A</v>
      </c>
      <c r="M120" s="40" t="e">
        <f t="shared" si="23"/>
        <v>#N/A</v>
      </c>
      <c r="N120" s="40" t="e">
        <f t="shared" si="23"/>
        <v>#N/A</v>
      </c>
    </row>
    <row r="123" spans="2:14">
      <c r="B123" s="19" t="s">
        <v>675</v>
      </c>
      <c r="C123" s="151">
        <v>2019</v>
      </c>
      <c r="D123" s="151">
        <v>2020</v>
      </c>
      <c r="E123" s="151">
        <v>2021</v>
      </c>
      <c r="F123" s="151">
        <v>2022</v>
      </c>
      <c r="G123" s="151">
        <v>2023</v>
      </c>
      <c r="H123" s="151">
        <v>2024</v>
      </c>
      <c r="I123" s="151">
        <v>2025</v>
      </c>
      <c r="J123" s="151">
        <v>2026</v>
      </c>
      <c r="K123" s="151">
        <v>2027</v>
      </c>
      <c r="L123" s="151">
        <v>2028</v>
      </c>
      <c r="M123" s="151">
        <v>2029</v>
      </c>
      <c r="N123" s="151">
        <v>2030</v>
      </c>
    </row>
    <row r="124" spans="2:14">
      <c r="B124" s="152" t="s">
        <v>600</v>
      </c>
      <c r="C124" s="153">
        <f>IFERROR(_xlfn.XLOOKUP(Berekeningen!C$123,'Brondata Woningen'!$C$51:$N$51,'Brondata Woningen'!$C$52:$N$52),NA())</f>
        <v>42</v>
      </c>
      <c r="D124" s="153">
        <f>IFERROR(_xlfn.XLOOKUP(Berekeningen!D$123,'Brondata Woningen'!$C$51:$N$51,'Brondata Woningen'!$C$52:$N$52),NA())</f>
        <v>61</v>
      </c>
      <c r="E124" s="153">
        <f>IFERROR(_xlfn.XLOOKUP(Berekeningen!E$123,'Brondata Woningen'!$C$51:$N$51,'Brondata Woningen'!$C$52:$N$52),NA())</f>
        <v>37</v>
      </c>
      <c r="F124" s="153">
        <f>IFERROR(_xlfn.XLOOKUP(Berekeningen!F$123,'Brondata Woningen'!$C$51:$N$51,'Brondata Woningen'!$C$52:$N$52),NA())</f>
        <v>56</v>
      </c>
      <c r="G124" s="153">
        <f>IFERROR(_xlfn.XLOOKUP(Berekeningen!G$123,'Brondata Woningen'!$C$51:$N$51,'Brondata Woningen'!$C$52:$N$52),NA())</f>
        <v>62</v>
      </c>
      <c r="H124" s="153">
        <f>IFERROR(_xlfn.XLOOKUP(Berekeningen!H$123,'Brondata Woningen'!$C$51:$N$51,'Brondata Woningen'!$C$52:$N$52),NA())</f>
        <v>86</v>
      </c>
      <c r="I124" s="153" t="e">
        <f>IFERROR(_xlfn.XLOOKUP(Berekeningen!I$123,'Brondata Woningen'!$C$51:$N$51,'Brondata Woningen'!$C$52:$N$52),NA())</f>
        <v>#N/A</v>
      </c>
      <c r="J124" s="153" t="e">
        <f>IFERROR(_xlfn.XLOOKUP(Berekeningen!J$123,'Brondata Woningen'!$C$51:$N$51,'Brondata Woningen'!$C$52:$N$52),NA())</f>
        <v>#N/A</v>
      </c>
      <c r="K124" s="153" t="e">
        <f>IFERROR(_xlfn.XLOOKUP(Berekeningen!K$123,'Brondata Woningen'!$C$51:$N$51,'Brondata Woningen'!$C$52:$N$52),NA())</f>
        <v>#N/A</v>
      </c>
      <c r="L124" s="153" t="e">
        <f>IFERROR(_xlfn.XLOOKUP(Berekeningen!L$123,'Brondata Woningen'!$C$51:$N$51,'Brondata Woningen'!$C$52:$N$52),NA())</f>
        <v>#N/A</v>
      </c>
      <c r="M124" s="153" t="e">
        <f>IFERROR(_xlfn.XLOOKUP(Berekeningen!M$123,'Brondata Woningen'!$C$51:$N$51,'Brondata Woningen'!$C$52:$N$52),NA())</f>
        <v>#N/A</v>
      </c>
      <c r="N124" s="153" t="e">
        <f>IFERROR(_xlfn.XLOOKUP(Berekeningen!N$123,'Brondata Woningen'!$C$51:$N$51,'Brondata Woningen'!$C$52:$N$52),NA())</f>
        <v>#N/A</v>
      </c>
    </row>
    <row r="125" spans="2:14">
      <c r="B125" s="154" t="s">
        <v>602</v>
      </c>
      <c r="C125" s="153">
        <f>C124</f>
        <v>42</v>
      </c>
      <c r="D125" s="155">
        <f>IF(C125+D124=0,NA(),(C125+D124))</f>
        <v>103</v>
      </c>
      <c r="E125" s="155">
        <f t="shared" ref="E125:N125" si="24">IF(D125+E124=0,NA(),(D125+E124))</f>
        <v>140</v>
      </c>
      <c r="F125" s="155">
        <f t="shared" si="24"/>
        <v>196</v>
      </c>
      <c r="G125" s="155">
        <f t="shared" si="24"/>
        <v>258</v>
      </c>
      <c r="H125" s="155">
        <f t="shared" si="24"/>
        <v>344</v>
      </c>
      <c r="I125" s="155" t="e">
        <f t="shared" si="24"/>
        <v>#N/A</v>
      </c>
      <c r="J125" s="155" t="e">
        <f t="shared" si="24"/>
        <v>#N/A</v>
      </c>
      <c r="K125" s="155" t="e">
        <f t="shared" si="24"/>
        <v>#N/A</v>
      </c>
      <c r="L125" s="155" t="e">
        <f t="shared" si="24"/>
        <v>#N/A</v>
      </c>
      <c r="M125" s="155" t="e">
        <f t="shared" si="24"/>
        <v>#N/A</v>
      </c>
      <c r="N125" s="155" t="e">
        <f t="shared" si="24"/>
        <v>#N/A</v>
      </c>
    </row>
    <row r="126" spans="2:14">
      <c r="B126" s="154" t="s">
        <v>601</v>
      </c>
      <c r="C126" s="156"/>
      <c r="D126" s="157">
        <f t="shared" ref="D126:N126" si="25">IF((D125-$C$125)/$C$125=0,NA(),(D125-$C$125)/$C$125)</f>
        <v>1.4523809523809523</v>
      </c>
      <c r="E126" s="157">
        <f t="shared" si="25"/>
        <v>2.3333333333333335</v>
      </c>
      <c r="F126" s="157">
        <f t="shared" si="25"/>
        <v>3.6666666666666665</v>
      </c>
      <c r="G126" s="157">
        <f t="shared" si="25"/>
        <v>5.1428571428571432</v>
      </c>
      <c r="H126" s="157">
        <f t="shared" si="25"/>
        <v>7.1904761904761907</v>
      </c>
      <c r="I126" s="157" t="e">
        <f t="shared" si="25"/>
        <v>#N/A</v>
      </c>
      <c r="J126" s="157" t="e">
        <f t="shared" si="25"/>
        <v>#N/A</v>
      </c>
      <c r="K126" s="157" t="e">
        <f t="shared" si="25"/>
        <v>#N/A</v>
      </c>
      <c r="L126" s="157" t="e">
        <f t="shared" si="25"/>
        <v>#N/A</v>
      </c>
      <c r="M126" s="157" t="e">
        <f t="shared" si="25"/>
        <v>#N/A</v>
      </c>
      <c r="N126" s="157" t="e">
        <f t="shared" si="25"/>
        <v>#N/A</v>
      </c>
    </row>
    <row r="127" spans="2:14">
      <c r="B127" s="154" t="s">
        <v>603</v>
      </c>
      <c r="C127" s="157">
        <f>IF(C125/C115=0,NA(),C125/C115)</f>
        <v>2.273957769355712E-3</v>
      </c>
      <c r="D127" s="157">
        <f t="shared" ref="D127:N127" si="26">IF(D125/D115=0,NA(),D125/D115)</f>
        <v>5.506843455945252E-3</v>
      </c>
      <c r="E127" s="157">
        <f t="shared" si="26"/>
        <v>7.4511682367342591E-3</v>
      </c>
      <c r="F127" s="157">
        <f t="shared" si="26"/>
        <v>1.028385539640065E-2</v>
      </c>
      <c r="G127" s="157">
        <f t="shared" si="26"/>
        <v>1.3614057305683077E-2</v>
      </c>
      <c r="H127" s="157" t="e">
        <f t="shared" si="26"/>
        <v>#N/A</v>
      </c>
      <c r="I127" s="157" t="e">
        <f t="shared" si="26"/>
        <v>#N/A</v>
      </c>
      <c r="J127" s="157" t="e">
        <f t="shared" si="26"/>
        <v>#N/A</v>
      </c>
      <c r="K127" s="157" t="e">
        <f t="shared" si="26"/>
        <v>#N/A</v>
      </c>
      <c r="L127" s="157" t="e">
        <f t="shared" si="26"/>
        <v>#N/A</v>
      </c>
      <c r="M127" s="157" t="e">
        <f t="shared" si="26"/>
        <v>#N/A</v>
      </c>
      <c r="N127" s="157" t="e">
        <f t="shared" si="26"/>
        <v>#N/A</v>
      </c>
    </row>
    <row r="129" spans="2:14">
      <c r="B129" s="19" t="s">
        <v>548</v>
      </c>
      <c r="C129" s="38">
        <v>2019</v>
      </c>
      <c r="D129" s="38">
        <v>2020</v>
      </c>
      <c r="E129" s="38">
        <v>2021</v>
      </c>
      <c r="F129" s="38">
        <v>2022</v>
      </c>
      <c r="G129" s="38">
        <v>2023</v>
      </c>
      <c r="H129" s="38">
        <v>2024</v>
      </c>
      <c r="I129" s="38">
        <v>2025</v>
      </c>
      <c r="J129" s="38">
        <v>2026</v>
      </c>
      <c r="K129" s="38">
        <v>2027</v>
      </c>
      <c r="L129" s="38">
        <v>2028</v>
      </c>
      <c r="M129" s="38">
        <v>2029</v>
      </c>
      <c r="N129" s="38">
        <v>2030</v>
      </c>
    </row>
    <row r="130" spans="2:14">
      <c r="B130" s="109" t="s">
        <v>198</v>
      </c>
      <c r="C130" s="110" cm="1">
        <f t="array" ref="C130">IFERROR(_xlfn.XLOOKUP(Berekeningen!$B$130,'Brondata Woningen'!$B$37:$B$38,_xlfn.XLOOKUP(Berekeningen!C$129,'Brondata Woningen'!$C$36:$N$36,'Brondata Woningen'!$C$37:$N$38)),NA())</f>
        <v>245.8</v>
      </c>
      <c r="D130" s="110" cm="1">
        <f t="array" ref="D130">IFERROR(_xlfn.XLOOKUP(Berekeningen!$B$130,'Brondata Woningen'!$B$37:$B$38,_xlfn.XLOOKUP(Berekeningen!D$129,'Brondata Woningen'!$C$36:$N$36,'Brondata Woningen'!$C$37:$N$38)),NA())</f>
        <v>235.1</v>
      </c>
      <c r="E130" s="110" cm="1">
        <f t="array" ref="E130">IFERROR(_xlfn.XLOOKUP(Berekeningen!$B$130,'Brondata Woningen'!$B$37:$B$38,_xlfn.XLOOKUP(Berekeningen!E$129,'Brondata Woningen'!$C$36:$N$36,'Brondata Woningen'!$C$37:$N$38)),NA())</f>
        <v>235.3</v>
      </c>
      <c r="F130" s="110" cm="1">
        <f t="array" ref="F130">IFERROR(_xlfn.XLOOKUP(Berekeningen!$B$130,'Brondata Woningen'!$B$37:$B$38,_xlfn.XLOOKUP(Berekeningen!F$129,'Brondata Woningen'!$C$36:$N$36,'Brondata Woningen'!$C$37:$N$38)),NA())</f>
        <v>225.8</v>
      </c>
      <c r="G130" s="110" cm="1">
        <f t="array" ref="G130">IFERROR(_xlfn.XLOOKUP(Berekeningen!$B$130,'Brondata Woningen'!$B$37:$B$38,_xlfn.XLOOKUP(Berekeningen!G$129,'Brondata Woningen'!$C$36:$N$36,'Brondata Woningen'!$C$37:$N$38)),NA())</f>
        <v>216.3</v>
      </c>
      <c r="H130" s="110" t="e" cm="1">
        <f t="array" ref="H130">IFERROR(_xlfn.XLOOKUP(Berekeningen!$B$130,'Brondata Woningen'!$B$37:$B$38,_xlfn.XLOOKUP(Berekeningen!H$129,'Brondata Woningen'!$C$36:$N$36,'Brondata Woningen'!$C$37:$N$38)),NA())</f>
        <v>#N/A</v>
      </c>
      <c r="I130" s="110" t="e" cm="1">
        <f t="array" ref="I130">IFERROR(_xlfn.XLOOKUP(Berekeningen!$B$130,'Brondata Woningen'!$B$37:$B$38,_xlfn.XLOOKUP(Berekeningen!I$129,'Brondata Woningen'!$C$36:$N$36,'Brondata Woningen'!$C$37:$N$38)),NA())</f>
        <v>#N/A</v>
      </c>
      <c r="J130" s="110" t="e" cm="1">
        <f t="array" ref="J130">IFERROR(_xlfn.XLOOKUP(Berekeningen!$B$130,'Brondata Woningen'!$B$37:$B$38,_xlfn.XLOOKUP(Berekeningen!J$129,'Brondata Woningen'!$C$36:$N$36,'Brondata Woningen'!$C$37:$N$38)),NA())</f>
        <v>#N/A</v>
      </c>
      <c r="K130" s="110" t="e" cm="1">
        <f t="array" ref="K130">IFERROR(_xlfn.XLOOKUP(Berekeningen!$B$130,'Brondata Woningen'!$B$37:$B$38,_xlfn.XLOOKUP(Berekeningen!K$129,'Brondata Woningen'!$C$36:$N$36,'Brondata Woningen'!$C$37:$N$38)),NA())</f>
        <v>#N/A</v>
      </c>
      <c r="L130" s="110" t="e" cm="1">
        <f t="array" ref="L130">IFERROR(_xlfn.XLOOKUP(Berekeningen!$B$130,'Brondata Woningen'!$B$37:$B$38,_xlfn.XLOOKUP(Berekeningen!L$129,'Brondata Woningen'!$C$36:$N$36,'Brondata Woningen'!$C$37:$N$38)),NA())</f>
        <v>#N/A</v>
      </c>
      <c r="M130" s="110" t="e" cm="1">
        <f t="array" ref="M130">IFERROR(_xlfn.XLOOKUP(Berekeningen!$B$130,'Brondata Woningen'!$B$37:$B$38,_xlfn.XLOOKUP(Berekeningen!M$129,'Brondata Woningen'!$C$36:$N$36,'Brondata Woningen'!$C$37:$N$38)),NA())</f>
        <v>#N/A</v>
      </c>
      <c r="N130" s="110" t="e" cm="1">
        <f t="array" ref="N130">IFERROR(_xlfn.XLOOKUP(Berekeningen!$B$130,'Brondata Woningen'!$B$37:$B$38,_xlfn.XLOOKUP(Berekeningen!N$129,'Brondata Woningen'!$C$36:$N$36,'Brondata Woningen'!$C$37:$N$38)),NA())</f>
        <v>#N/A</v>
      </c>
    </row>
    <row r="131" spans="2:14">
      <c r="B131" s="109" t="s">
        <v>549</v>
      </c>
      <c r="C131" s="110"/>
      <c r="D131" s="111">
        <f t="shared" ref="D131:N131" si="27">IF((D130-$C$130)/$C$130=0,NA(),(D130-$C$130)/$C$130)</f>
        <v>-4.3531326281529767E-2</v>
      </c>
      <c r="E131" s="111">
        <f t="shared" si="27"/>
        <v>-4.2717656631407648E-2</v>
      </c>
      <c r="F131" s="111">
        <f t="shared" si="27"/>
        <v>-8.1366965012205042E-2</v>
      </c>
      <c r="G131" s="111">
        <f t="shared" si="27"/>
        <v>-0.12001627339300243</v>
      </c>
      <c r="H131" s="111" t="e">
        <f t="shared" si="27"/>
        <v>#N/A</v>
      </c>
      <c r="I131" s="111" t="e">
        <f t="shared" si="27"/>
        <v>#N/A</v>
      </c>
      <c r="J131" s="111" t="e">
        <f t="shared" si="27"/>
        <v>#N/A</v>
      </c>
      <c r="K131" s="111" t="e">
        <f t="shared" si="27"/>
        <v>#N/A</v>
      </c>
      <c r="L131" s="111" t="e">
        <f t="shared" si="27"/>
        <v>#N/A</v>
      </c>
      <c r="M131" s="111" t="e">
        <f t="shared" si="27"/>
        <v>#N/A</v>
      </c>
      <c r="N131" s="111" t="e">
        <f t="shared" si="27"/>
        <v>#N/A</v>
      </c>
    </row>
  </sheetData>
  <sheetProtection algorithmName="SHA-512" hashValue="MwCAbYyHO5QIXElQZZxLP37MnwA+3s275vBag9wfUyTZ4GnOoSIoYMOR1VIOxvOj/gxcUUQHDBayK2MWFo0e9w==" saltValue="zIYMqqXtjNoNHQwlREBy+A==" spinCount="100000" sheet="1" objects="1" scenarios="1"/>
  <mergeCells count="2">
    <mergeCell ref="B2:N2"/>
    <mergeCell ref="B56:N56"/>
  </mergeCells>
  <phoneticPr fontId="15" type="noConversion"/>
  <dataValidations disablePrompts="1" count="2">
    <dataValidation type="custom" allowBlank="1" showInputMessage="1" showErrorMessage="1" sqref="V4" xr:uid="{E8051B0E-29C4-F54A-9BCE-7F61AE47FAE5}">
      <formula1>"""Ja"";""Nee"""</formula1>
    </dataValidation>
    <dataValidation type="custom" allowBlank="1" showInputMessage="1" showErrorMessage="1" sqref="V3" xr:uid="{819F397B-BE18-F94E-9031-17BFDC11BEEE}">
      <formula1>"""Jaa""; ""Nee"""</formula1>
    </dataValidation>
  </dataValidations>
  <pageMargins left="0.7" right="0.7" top="0.75" bottom="0.75" header="0.3" footer="0.3"/>
  <pageSetup paperSize="9" orientation="portrait" horizontalDpi="0" verticalDpi="0"/>
  <ignoredErrors>
    <ignoredError sqref="H9:N9 G5:N7 G8 H8:N8" evalError="1"/>
    <ignoredError sqref="C60 D60:F60 H60:N6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562F5-36A5-0B45-9E02-0D8F088C20AC}">
  <sheetPr codeName="Blad5">
    <tabColor theme="5" tint="0.59999389629810485"/>
  </sheetPr>
  <dimension ref="B1:N52"/>
  <sheetViews>
    <sheetView topLeftCell="A3" zoomScale="83" workbookViewId="0">
      <selection activeCell="C64" sqref="C64"/>
    </sheetView>
  </sheetViews>
  <sheetFormatPr defaultColWidth="10.59765625" defaultRowHeight="15.6"/>
  <cols>
    <col min="2" max="2" width="23.5" bestFit="1" customWidth="1"/>
    <col min="3" max="6" width="11.5" bestFit="1" customWidth="1"/>
    <col min="7" max="7" width="10.5" bestFit="1" customWidth="1"/>
    <col min="8" max="8" width="12" customWidth="1"/>
  </cols>
  <sheetData>
    <row r="1" spans="2:8" ht="21">
      <c r="B1" s="259" t="s">
        <v>597</v>
      </c>
      <c r="C1" s="259"/>
      <c r="D1" s="259"/>
      <c r="E1" s="259"/>
      <c r="F1" s="259"/>
      <c r="G1" s="259"/>
      <c r="H1" s="259"/>
    </row>
    <row r="2" spans="2:8" ht="21">
      <c r="B2" s="78"/>
    </row>
    <row r="3" spans="2:8" ht="16.2" thickBot="1">
      <c r="C3" s="79" t="s">
        <v>268</v>
      </c>
      <c r="D3" s="79" t="s">
        <v>269</v>
      </c>
      <c r="E3" s="79" t="s">
        <v>270</v>
      </c>
      <c r="F3" s="79" t="s">
        <v>271</v>
      </c>
      <c r="G3" s="79" t="s">
        <v>272</v>
      </c>
      <c r="H3" s="79" t="s">
        <v>273</v>
      </c>
    </row>
    <row r="4" spans="2:8">
      <c r="B4" s="27" t="s">
        <v>529</v>
      </c>
      <c r="C4" s="167" t="s">
        <v>530</v>
      </c>
      <c r="D4" s="166" t="s">
        <v>531</v>
      </c>
      <c r="E4" s="166" t="s">
        <v>532</v>
      </c>
      <c r="F4" s="166" t="s">
        <v>533</v>
      </c>
      <c r="G4" s="166" t="s">
        <v>534</v>
      </c>
      <c r="H4" s="168" t="s">
        <v>535</v>
      </c>
    </row>
    <row r="5" spans="2:8">
      <c r="B5" s="165" t="s">
        <v>277</v>
      </c>
      <c r="C5" s="150">
        <v>0</v>
      </c>
      <c r="D5" s="150">
        <v>8.1500000000000003E-2</v>
      </c>
      <c r="E5" s="150">
        <v>0.114</v>
      </c>
      <c r="F5" s="150">
        <v>0.53900000000000003</v>
      </c>
      <c r="G5" s="150">
        <v>0</v>
      </c>
      <c r="H5" s="150">
        <v>2.1000000000000001E-2</v>
      </c>
    </row>
    <row r="6" spans="2:8">
      <c r="B6" s="165" t="s">
        <v>275</v>
      </c>
      <c r="C6" s="150" cm="1">
        <f t="array" ref="C6">_xlfn.XLOOKUP($B6,'Brondata Groene KPI''s'!$D$7:$D$42,_xlfn.XLOOKUP('Berekeningen Groene KPI''s'!C$3,'Brondata Groene KPI''s'!$BA$6:$BF$6,'Brondata Groene KPI''s'!$BA$7:$BF$42))</f>
        <v>1.4068655036578501E-4</v>
      </c>
      <c r="D6" s="150" cm="1">
        <f t="array" ref="D6">_xlfn.XLOOKUP($B6,'Brondata Groene KPI''s'!$D$7:$D$42,_xlfn.XLOOKUP('Berekeningen Groene KPI''s'!D$3,'Brondata Groene KPI''s'!$BA$6:$BF$6,'Brondata Groene KPI''s'!$BA$7:$BF$42))</f>
        <v>5.444569499155881E-2</v>
      </c>
      <c r="E6" s="150" cm="1">
        <f t="array" ref="E6">_xlfn.XLOOKUP($B6,'Brondata Groene KPI''s'!$D$7:$D$42,_xlfn.XLOOKUP('Berekeningen Groene KPI''s'!E$3,'Brondata Groene KPI''s'!$BA$6:$BF$6,'Brondata Groene KPI''s'!$BA$7:$BF$42))</f>
        <v>8.3398987056837362E-2</v>
      </c>
      <c r="F6" s="150" cm="1">
        <f t="array" ref="F6">_xlfn.XLOOKUP($B6,'Brondata Groene KPI''s'!$D$7:$D$42,_xlfn.XLOOKUP('Berekeningen Groene KPI''s'!F$3,'Brondata Groene KPI''s'!$BA$6:$BF$6,'Brondata Groene KPI''s'!$BA$7:$BF$42))</f>
        <v>0.57507034327518292</v>
      </c>
      <c r="G6" s="150" cm="1">
        <f t="array" ref="G6">_xlfn.XLOOKUP($B6,'Brondata Groene KPI''s'!$D$7:$D$42,_xlfn.XLOOKUP('Berekeningen Groene KPI''s'!G$3,'Brondata Groene KPI''s'!$BA$6:$BF$6,'Brondata Groene KPI''s'!$BA$7:$BF$42))</f>
        <v>0</v>
      </c>
      <c r="H6" s="150" cm="1">
        <f t="array" ref="H6">_xlfn.XLOOKUP($B6,'Brondata Groene KPI''s'!$D$7:$D$42,_xlfn.XLOOKUP('Berekeningen Groene KPI''s'!H$3,'Brondata Groene KPI''s'!$BA$6:$BF$6,'Brondata Groene KPI''s'!$BA$7:$BF$42))</f>
        <v>0.28694428812605521</v>
      </c>
    </row>
    <row r="7" spans="2:8">
      <c r="B7" s="165" t="s">
        <v>321</v>
      </c>
      <c r="C7" s="150" cm="1">
        <f t="array" ref="C7">_xlfn.XLOOKUP($B7,'Brondata Groene KPI''s'!$D$7:$D$42,_xlfn.XLOOKUP('Berekeningen Groene KPI''s'!C$3,'Brondata Groene KPI''s'!$BA$6:$BF$6,'Brondata Groene KPI''s'!$BA$7:$BF$42))</f>
        <v>4.6662560992941403E-3</v>
      </c>
      <c r="D7" s="150" cm="1">
        <f t="array" ref="D7">_xlfn.XLOOKUP($B7,'Brondata Groene KPI''s'!$D$7:$D$42,_xlfn.XLOOKUP('Berekeningen Groene KPI''s'!D$3,'Brondata Groene KPI''s'!$BA$6:$BF$6,'Brondata Groene KPI''s'!$BA$7:$BF$42))</f>
        <v>2.9371358188450429E-2</v>
      </c>
      <c r="E7" s="150" cm="1">
        <f t="array" ref="E7">_xlfn.XLOOKUP($B7,'Brondata Groene KPI''s'!$D$7:$D$42,_xlfn.XLOOKUP('Berekeningen Groene KPI''s'!E$3,'Brondata Groene KPI''s'!$BA$6:$BF$6,'Brondata Groene KPI''s'!$BA$7:$BF$42))</f>
        <v>5.7345208205031029E-2</v>
      </c>
      <c r="F7" s="150" cm="1">
        <f t="array" ref="F7">_xlfn.XLOOKUP($B7,'Brondata Groene KPI''s'!$D$7:$D$42,_xlfn.XLOOKUP('Berekeningen Groene KPI''s'!F$3,'Brondata Groene KPI''s'!$BA$6:$BF$6,'Brondata Groene KPI''s'!$BA$7:$BF$42))</f>
        <v>0.78080439622909659</v>
      </c>
      <c r="G7" s="150" cm="1">
        <f t="array" ref="G7">_xlfn.XLOOKUP($B7,'Brondata Groene KPI''s'!$D$7:$D$42,_xlfn.XLOOKUP('Berekeningen Groene KPI''s'!G$3,'Brondata Groene KPI''s'!$BA$6:$BF$6,'Brondata Groene KPI''s'!$BA$7:$BF$42))</f>
        <v>0</v>
      </c>
      <c r="H7" s="150" cm="1">
        <f t="array" ref="H7">_xlfn.XLOOKUP($B7,'Brondata Groene KPI''s'!$D$7:$D$42,_xlfn.XLOOKUP('Berekeningen Groene KPI''s'!H$3,'Brondata Groene KPI''s'!$BA$6:$BF$6,'Brondata Groene KPI''s'!$BA$7:$BF$42))</f>
        <v>0.12781278127812781</v>
      </c>
    </row>
    <row r="8" spans="2:8">
      <c r="B8" s="165" t="s">
        <v>484</v>
      </c>
      <c r="C8" s="150" cm="1">
        <f t="array" ref="C8">_xlfn.XLOOKUP($B8,'Brondata Groene KPI''s'!$D$7:$D$42,_xlfn.XLOOKUP('Berekeningen Groene KPI''s'!C$3,'Brondata Groene KPI''s'!$BA$6:$BF$6,'Brondata Groene KPI''s'!$BA$7:$BF$42))</f>
        <v>0</v>
      </c>
      <c r="D8" s="150" cm="1">
        <f t="array" ref="D8">_xlfn.XLOOKUP($B8,'Brondata Groene KPI''s'!$D$7:$D$42,_xlfn.XLOOKUP('Berekeningen Groene KPI''s'!D$3,'Brondata Groene KPI''s'!$BA$6:$BF$6,'Brondata Groene KPI''s'!$BA$7:$BF$42))</f>
        <v>0.1133453156594024</v>
      </c>
      <c r="E8" s="150" cm="1">
        <f t="array" ref="E8">_xlfn.XLOOKUP($B8,'Brondata Groene KPI''s'!$D$7:$D$42,_xlfn.XLOOKUP('Berekeningen Groene KPI''s'!E$3,'Brondata Groene KPI''s'!$BA$6:$BF$6,'Brondata Groene KPI''s'!$BA$7:$BF$42))</f>
        <v>0.13442672058713401</v>
      </c>
      <c r="F8" s="150" cm="1">
        <f t="array" ref="F8">_xlfn.XLOOKUP($B8,'Brondata Groene KPI''s'!$D$7:$D$42,_xlfn.XLOOKUP('Berekeningen Groene KPI''s'!F$3,'Brondata Groene KPI''s'!$BA$6:$BF$6,'Brondata Groene KPI''s'!$BA$7:$BF$42))</f>
        <v>0.51059686961731443</v>
      </c>
      <c r="G8" s="150" cm="1">
        <f t="array" ref="G8">_xlfn.XLOOKUP($B8,'Brondata Groene KPI''s'!$D$7:$D$42,_xlfn.XLOOKUP('Berekeningen Groene KPI''s'!G$3,'Brondata Groene KPI''s'!$BA$6:$BF$6,'Brondata Groene KPI''s'!$BA$7:$BF$42))</f>
        <v>0</v>
      </c>
      <c r="H8" s="150" cm="1">
        <f t="array" ref="H8">_xlfn.XLOOKUP($B8,'Brondata Groene KPI''s'!$D$7:$D$42,_xlfn.XLOOKUP('Berekeningen Groene KPI''s'!H$3,'Brondata Groene KPI''s'!$BA$6:$BF$6,'Brondata Groene KPI''s'!$BA$7:$BF$42))</f>
        <v>0.24163109413614919</v>
      </c>
    </row>
    <row r="9" spans="2:8">
      <c r="B9" s="165" t="s">
        <v>491</v>
      </c>
      <c r="C9" s="150" cm="1">
        <f t="array" ref="C9">_xlfn.XLOOKUP($B9,'Brondata Groene KPI''s'!$D$7:$D$42,_xlfn.XLOOKUP('Berekeningen Groene KPI''s'!C$3,'Brondata Groene KPI''s'!$BA$6:$BF$6,'Brondata Groene KPI''s'!$BA$7:$BF$42))</f>
        <v>0</v>
      </c>
      <c r="D9" s="150" cm="1">
        <f t="array" ref="D9">_xlfn.XLOOKUP($B9,'Brondata Groene KPI''s'!$D$7:$D$42,_xlfn.XLOOKUP('Berekeningen Groene KPI''s'!D$3,'Brondata Groene KPI''s'!$BA$6:$BF$6,'Brondata Groene KPI''s'!$BA$7:$BF$42))</f>
        <v>7.7750511247443768E-2</v>
      </c>
      <c r="E9" s="150" cm="1">
        <f t="array" ref="E9">_xlfn.XLOOKUP($B9,'Brondata Groene KPI''s'!$D$7:$D$42,_xlfn.XLOOKUP('Berekeningen Groene KPI''s'!E$3,'Brondata Groene KPI''s'!$BA$6:$BF$6,'Brondata Groene KPI''s'!$BA$7:$BF$42))</f>
        <v>8.0245398773006141E-2</v>
      </c>
      <c r="F9" s="150" cm="1">
        <f t="array" ref="F9">_xlfn.XLOOKUP($B9,'Brondata Groene KPI''s'!$D$7:$D$42,_xlfn.XLOOKUP('Berekeningen Groene KPI''s'!F$3,'Brondata Groene KPI''s'!$BA$6:$BF$6,'Brondata Groene KPI''s'!$BA$7:$BF$42))</f>
        <v>0.52633946830265854</v>
      </c>
      <c r="G9" s="150" cm="1">
        <f t="array" ref="G9">_xlfn.XLOOKUP($B9,'Brondata Groene KPI''s'!$D$7:$D$42,_xlfn.XLOOKUP('Berekeningen Groene KPI''s'!G$3,'Brondata Groene KPI''s'!$BA$6:$BF$6,'Brondata Groene KPI''s'!$BA$7:$BF$42))</f>
        <v>1.4314928425357869E-3</v>
      </c>
      <c r="H9" s="150" cm="1">
        <f t="array" ref="H9">_xlfn.XLOOKUP($B9,'Brondata Groene KPI''s'!$D$7:$D$42,_xlfn.XLOOKUP('Berekeningen Groene KPI''s'!H$3,'Brondata Groene KPI''s'!$BA$6:$BF$6,'Brondata Groene KPI''s'!$BA$7:$BF$42))</f>
        <v>0.31423312883435578</v>
      </c>
    </row>
    <row r="10" spans="2:8">
      <c r="B10" s="165" t="s">
        <v>295</v>
      </c>
      <c r="C10" s="150" cm="1">
        <f t="array" ref="C10">_xlfn.XLOOKUP($B10,'Brondata Groene KPI''s'!$D$7:$D$42,_xlfn.XLOOKUP('Berekeningen Groene KPI''s'!C$3,'Brondata Groene KPI''s'!$BA$6:$BF$6,'Brondata Groene KPI''s'!$BA$7:$BF$42))</f>
        <v>0.1906578173569688</v>
      </c>
      <c r="D10" s="150" cm="1">
        <f t="array" ref="D10">_xlfn.XLOOKUP($B10,'Brondata Groene KPI''s'!$D$7:$D$42,_xlfn.XLOOKUP('Berekeningen Groene KPI''s'!D$3,'Brondata Groene KPI''s'!$BA$6:$BF$6,'Brondata Groene KPI''s'!$BA$7:$BF$42))</f>
        <v>3.389061581114005E-2</v>
      </c>
      <c r="E10" s="150" cm="1">
        <f t="array" ref="E10">_xlfn.XLOOKUP($B10,'Brondata Groene KPI''s'!$D$7:$D$42,_xlfn.XLOOKUP('Berekeningen Groene KPI''s'!E$3,'Brondata Groene KPI''s'!$BA$6:$BF$6,'Brondata Groene KPI''s'!$BA$7:$BF$42))</f>
        <v>0.10311686129547171</v>
      </c>
      <c r="F10" s="150" cm="1">
        <f t="array" ref="F10">_xlfn.XLOOKUP($B10,'Brondata Groene KPI''s'!$D$7:$D$42,_xlfn.XLOOKUP('Berekeningen Groene KPI''s'!F$3,'Brondata Groene KPI''s'!$BA$6:$BF$6,'Brondata Groene KPI''s'!$BA$7:$BF$42))</f>
        <v>0.60018482735444845</v>
      </c>
      <c r="G10" s="150" cm="1">
        <f t="array" ref="G10">_xlfn.XLOOKUP($B10,'Brondata Groene KPI''s'!$D$7:$D$42,_xlfn.XLOOKUP('Berekeningen Groene KPI''s'!G$3,'Brondata Groene KPI''s'!$BA$6:$BF$6,'Brondata Groene KPI''s'!$BA$7:$BF$42))</f>
        <v>0</v>
      </c>
      <c r="H10" s="150" cm="1">
        <f t="array" ref="H10">_xlfn.XLOOKUP($B10,'Brondata Groene KPI''s'!$D$7:$D$42,_xlfn.XLOOKUP('Berekeningen Groene KPI''s'!H$3,'Brondata Groene KPI''s'!$BA$6:$BF$6,'Brondata Groene KPI''s'!$BA$7:$BF$42))</f>
        <v>7.2149878181970925E-2</v>
      </c>
    </row>
    <row r="11" spans="2:8">
      <c r="B11" s="165" t="s">
        <v>516</v>
      </c>
      <c r="C11" s="150" cm="1">
        <f t="array" ref="C11">_xlfn.XLOOKUP($B11,'Brondata Groene KPI''s'!$D$7:$D$42,_xlfn.XLOOKUP('Berekeningen Groene KPI''s'!C$3,'Brondata Groene KPI''s'!$BA$6:$BF$6,'Brondata Groene KPI''s'!$BA$7:$BF$42))</f>
        <v>0</v>
      </c>
      <c r="D11" s="150" cm="1">
        <f t="array" ref="D11">_xlfn.XLOOKUP($B11,'Brondata Groene KPI''s'!$D$7:$D$42,_xlfn.XLOOKUP('Berekeningen Groene KPI''s'!D$3,'Brondata Groene KPI''s'!$BA$6:$BF$6,'Brondata Groene KPI''s'!$BA$7:$BF$42))</f>
        <v>6.8104193243076414E-2</v>
      </c>
      <c r="E11" s="150" cm="1">
        <f t="array" ref="E11">_xlfn.XLOOKUP($B11,'Brondata Groene KPI''s'!$D$7:$D$42,_xlfn.XLOOKUP('Berekeningen Groene KPI''s'!E$3,'Brondata Groene KPI''s'!$BA$6:$BF$6,'Brondata Groene KPI''s'!$BA$7:$BF$42))</f>
        <v>0.10332908110777329</v>
      </c>
      <c r="F11" s="150" cm="1">
        <f t="array" ref="F11">_xlfn.XLOOKUP($B11,'Brondata Groene KPI''s'!$D$7:$D$42,_xlfn.XLOOKUP('Berekeningen Groene KPI''s'!F$3,'Brondata Groene KPI''s'!$BA$6:$BF$6,'Brondata Groene KPI''s'!$BA$7:$BF$42))</f>
        <v>0.55129418542446817</v>
      </c>
      <c r="G11" s="150" cm="1">
        <f t="array" ref="G11">_xlfn.XLOOKUP($B11,'Brondata Groene KPI''s'!$D$7:$D$42,_xlfn.XLOOKUP('Berekeningen Groene KPI''s'!G$3,'Brondata Groene KPI''s'!$BA$6:$BF$6,'Brondata Groene KPI''s'!$BA$7:$BF$42))</f>
        <v>0</v>
      </c>
      <c r="H11" s="150" cm="1">
        <f t="array" ref="H11">_xlfn.XLOOKUP($B11,'Brondata Groene KPI''s'!$D$7:$D$42,_xlfn.XLOOKUP('Berekeningen Groene KPI''s'!H$3,'Brondata Groene KPI''s'!$BA$6:$BF$6,'Brondata Groene KPI''s'!$BA$7:$BF$42))</f>
        <v>0.27727254022468212</v>
      </c>
    </row>
    <row r="12" spans="2:8">
      <c r="B12" s="165" t="s">
        <v>406</v>
      </c>
      <c r="C12" s="150" cm="1">
        <f t="array" ref="C12">_xlfn.XLOOKUP($B12,'Brondata Groene KPI''s'!$D$7:$D$42,_xlfn.XLOOKUP('Berekeningen Groene KPI''s'!C$3,'Brondata Groene KPI''s'!$BA$6:$BF$6,'Brondata Groene KPI''s'!$BA$7:$BF$42))</f>
        <v>0</v>
      </c>
      <c r="D12" s="150" cm="1">
        <f t="array" ref="D12">_xlfn.XLOOKUP($B12,'Brondata Groene KPI''s'!$D$7:$D$42,_xlfn.XLOOKUP('Berekeningen Groene KPI''s'!D$3,'Brondata Groene KPI''s'!$BA$6:$BF$6,'Brondata Groene KPI''s'!$BA$7:$BF$42))</f>
        <v>4.2529420527335021E-2</v>
      </c>
      <c r="E12" s="150" cm="1">
        <f t="array" ref="E12">_xlfn.XLOOKUP($B12,'Brondata Groene KPI''s'!$D$7:$D$42,_xlfn.XLOOKUP('Berekeningen Groene KPI''s'!E$3,'Brondata Groene KPI''s'!$BA$6:$BF$6,'Brondata Groene KPI''s'!$BA$7:$BF$42))</f>
        <v>7.8653359153880525E-2</v>
      </c>
      <c r="F12" s="150" cm="1">
        <f t="array" ref="F12">_xlfn.XLOOKUP($B12,'Brondata Groene KPI''s'!$D$7:$D$42,_xlfn.XLOOKUP('Berekeningen Groene KPI''s'!F$3,'Brondata Groene KPI''s'!$BA$6:$BF$6,'Brondata Groene KPI''s'!$BA$7:$BF$42))</f>
        <v>0.66024877104126323</v>
      </c>
      <c r="G12" s="150" cm="1">
        <f t="array" ref="G12">_xlfn.XLOOKUP($B12,'Brondata Groene KPI''s'!$D$7:$D$42,_xlfn.XLOOKUP('Berekeningen Groene KPI''s'!G$3,'Brondata Groene KPI''s'!$BA$6:$BF$6,'Brondata Groene KPI''s'!$BA$7:$BF$42))</f>
        <v>0</v>
      </c>
      <c r="H12" s="150" cm="1">
        <f t="array" ref="H12">_xlfn.XLOOKUP($B12,'Brondata Groene KPI''s'!$D$7:$D$42,_xlfn.XLOOKUP('Berekeningen Groene KPI''s'!H$3,'Brondata Groene KPI''s'!$BA$6:$BF$6,'Brondata Groene KPI''s'!$BA$7:$BF$42))</f>
        <v>0.2185684492775212</v>
      </c>
    </row>
    <row r="13" spans="2:8">
      <c r="B13" s="165" t="s">
        <v>328</v>
      </c>
      <c r="C13" s="150" cm="1">
        <f t="array" ref="C13">_xlfn.XLOOKUP($B13,'Brondata Groene KPI''s'!$D$7:$D$42,_xlfn.XLOOKUP('Berekeningen Groene KPI''s'!C$3,'Brondata Groene KPI''s'!$BA$6:$BF$6,'Brondata Groene KPI''s'!$BA$7:$BF$42))</f>
        <v>7.5360789781076906E-5</v>
      </c>
      <c r="D13" s="150" cm="1">
        <f t="array" ref="D13">_xlfn.XLOOKUP($B13,'Brondata Groene KPI''s'!$D$7:$D$42,_xlfn.XLOOKUP('Berekeningen Groene KPI''s'!D$3,'Brondata Groene KPI''s'!$BA$6:$BF$6,'Brondata Groene KPI''s'!$BA$7:$BF$42))</f>
        <v>1.9932928897094838E-2</v>
      </c>
      <c r="E13" s="150" cm="1">
        <f t="array" ref="E13">_xlfn.XLOOKUP($B13,'Brondata Groene KPI''s'!$D$7:$D$42,_xlfn.XLOOKUP('Berekeningen Groene KPI''s'!E$3,'Brondata Groene KPI''s'!$BA$6:$BF$6,'Brondata Groene KPI''s'!$BA$7:$BF$42))</f>
        <v>7.1668111081804139E-2</v>
      </c>
      <c r="F13" s="150" cm="1">
        <f t="array" ref="F13">_xlfn.XLOOKUP($B13,'Brondata Groene KPI''s'!$D$7:$D$42,_xlfn.XLOOKUP('Berekeningen Groene KPI''s'!F$3,'Brondata Groene KPI''s'!$BA$6:$BF$6,'Brondata Groene KPI''s'!$BA$7:$BF$42))</f>
        <v>0.70628132182825276</v>
      </c>
      <c r="G13" s="150" cm="1">
        <f t="array" ref="G13">_xlfn.XLOOKUP($B13,'Brondata Groene KPI''s'!$D$7:$D$42,_xlfn.XLOOKUP('Berekeningen Groene KPI''s'!G$3,'Brondata Groene KPI''s'!$BA$6:$BF$6,'Brondata Groene KPI''s'!$BA$7:$BF$42))</f>
        <v>0</v>
      </c>
      <c r="H13" s="150" cm="1">
        <f t="array" ref="H13">_xlfn.XLOOKUP($B13,'Brondata Groene KPI''s'!$D$7:$D$42,_xlfn.XLOOKUP('Berekeningen Groene KPI''s'!H$3,'Brondata Groene KPI''s'!$BA$6:$BF$6,'Brondata Groene KPI''s'!$BA$7:$BF$42))</f>
        <v>0.20204227740306721</v>
      </c>
    </row>
    <row r="14" spans="2:8">
      <c r="B14" s="165" t="s">
        <v>525</v>
      </c>
      <c r="C14" s="150" cm="1">
        <f t="array" ref="C14">_xlfn.XLOOKUP($B14,'Brondata Groene KPI''s'!$D$7:$D$42,_xlfn.XLOOKUP('Berekeningen Groene KPI''s'!C$3,'Brondata Groene KPI''s'!$BA$6:$BF$6,'Brondata Groene KPI''s'!$BA$7:$BF$42))</f>
        <v>0</v>
      </c>
      <c r="D14" s="150" cm="1">
        <f t="array" ref="D14">_xlfn.XLOOKUP($B14,'Brondata Groene KPI''s'!$D$7:$D$42,_xlfn.XLOOKUP('Berekeningen Groene KPI''s'!D$3,'Brondata Groene KPI''s'!$BA$6:$BF$6,'Brondata Groene KPI''s'!$BA$7:$BF$42))</f>
        <v>3.5179943388596847E-2</v>
      </c>
      <c r="E14" s="150" cm="1">
        <f t="array" ref="E14">_xlfn.XLOOKUP($B14,'Brondata Groene KPI''s'!$D$7:$D$42,_xlfn.XLOOKUP('Berekeningen Groene KPI''s'!E$3,'Brondata Groene KPI''s'!$BA$6:$BF$6,'Brondata Groene KPI''s'!$BA$7:$BF$42))</f>
        <v>6.7630408410837034E-2</v>
      </c>
      <c r="F14" s="150" cm="1">
        <f t="array" ref="F14">_xlfn.XLOOKUP($B14,'Brondata Groene KPI''s'!$D$7:$D$42,_xlfn.XLOOKUP('Berekeningen Groene KPI''s'!F$3,'Brondata Groene KPI''s'!$BA$6:$BF$6,'Brondata Groene KPI''s'!$BA$7:$BF$42))</f>
        <v>0.56399110392236151</v>
      </c>
      <c r="G14" s="150" cm="1">
        <f t="array" ref="G14">_xlfn.XLOOKUP($B14,'Brondata Groene KPI''s'!$D$7:$D$42,_xlfn.XLOOKUP('Berekeningen Groene KPI''s'!G$3,'Brondata Groene KPI''s'!$BA$6:$BF$6,'Brondata Groene KPI''s'!$BA$7:$BF$42))</f>
        <v>3.0327537403962798E-4</v>
      </c>
      <c r="H14" s="150" cm="1">
        <f t="array" ref="H14">_xlfn.XLOOKUP($B14,'Brondata Groene KPI''s'!$D$7:$D$42,_xlfn.XLOOKUP('Berekeningen Groene KPI''s'!H$3,'Brondata Groene KPI''s'!$BA$6:$BF$6,'Brondata Groene KPI''s'!$BA$7:$BF$42))</f>
        <v>0.33289526890416499</v>
      </c>
    </row>
    <row r="15" spans="2:8">
      <c r="B15" s="165" t="s">
        <v>456</v>
      </c>
      <c r="C15" s="150" cm="1">
        <f t="array" ref="C15">_xlfn.XLOOKUP($B15,'Brondata Groene KPI''s'!$D$7:$D$42,_xlfn.XLOOKUP('Berekeningen Groene KPI''s'!C$3,'Brondata Groene KPI''s'!$BA$6:$BF$6,'Brondata Groene KPI''s'!$BA$7:$BF$42))</f>
        <v>4.8863296285976696E-3</v>
      </c>
      <c r="D15" s="150" cm="1">
        <f t="array" ref="D15">_xlfn.XLOOKUP($B15,'Brondata Groene KPI''s'!$D$7:$D$42,_xlfn.XLOOKUP('Berekeningen Groene KPI''s'!D$3,'Brondata Groene KPI''s'!$BA$6:$BF$6,'Brondata Groene KPI''s'!$BA$7:$BF$42))</f>
        <v>4.6567185742443472E-2</v>
      </c>
      <c r="E15" s="150" cm="1">
        <f t="array" ref="E15">_xlfn.XLOOKUP($B15,'Brondata Groene KPI''s'!$D$7:$D$42,_xlfn.XLOOKUP('Berekeningen Groene KPI''s'!E$3,'Brondata Groene KPI''s'!$BA$6:$BF$6,'Brondata Groene KPI''s'!$BA$7:$BF$42))</f>
        <v>4.7364374683962311E-2</v>
      </c>
      <c r="F15" s="150" cm="1">
        <f t="array" ref="F15">_xlfn.XLOOKUP($B15,'Brondata Groene KPI''s'!$D$7:$D$42,_xlfn.XLOOKUP('Berekeningen Groene KPI''s'!F$3,'Brondata Groene KPI''s'!$BA$6:$BF$6,'Brondata Groene KPI''s'!$BA$7:$BF$42))</f>
        <v>0.56961342786085056</v>
      </c>
      <c r="G15" s="150" cm="1">
        <f t="array" ref="G15">_xlfn.XLOOKUP($B15,'Brondata Groene KPI''s'!$D$7:$D$42,_xlfn.XLOOKUP('Berekeningen Groene KPI''s'!G$3,'Brondata Groene KPI''s'!$BA$6:$BF$6,'Brondata Groene KPI''s'!$BA$7:$BF$42))</f>
        <v>6.1917587690783565E-4</v>
      </c>
      <c r="H15" s="150" cm="1">
        <f t="array" ref="H15">_xlfn.XLOOKUP($B15,'Brondata Groene KPI''s'!$D$7:$D$42,_xlfn.XLOOKUP('Berekeningen Groene KPI''s'!H$3,'Brondata Groene KPI''s'!$BA$6:$BF$6,'Brondata Groene KPI''s'!$BA$7:$BF$42))</f>
        <v>0.33094950620723818</v>
      </c>
    </row>
    <row r="16" spans="2:8">
      <c r="B16" s="165" t="s">
        <v>479</v>
      </c>
      <c r="C16" s="150" cm="1">
        <f t="array" ref="C16">_xlfn.XLOOKUP($B16,'Brondata Groene KPI''s'!$D$7:$D$42,_xlfn.XLOOKUP('Berekeningen Groene KPI''s'!C$3,'Brondata Groene KPI''s'!$BA$6:$BF$6,'Brondata Groene KPI''s'!$BA$7:$BF$42))</f>
        <v>0</v>
      </c>
      <c r="D16" s="150" cm="1">
        <f t="array" ref="D16">_xlfn.XLOOKUP($B16,'Brondata Groene KPI''s'!$D$7:$D$42,_xlfn.XLOOKUP('Berekeningen Groene KPI''s'!D$3,'Brondata Groene KPI''s'!$BA$6:$BF$6,'Brondata Groene KPI''s'!$BA$7:$BF$42))</f>
        <v>0.1235150603096427</v>
      </c>
      <c r="E16" s="150" cm="1">
        <f t="array" ref="E16">_xlfn.XLOOKUP($B16,'Brondata Groene KPI''s'!$D$7:$D$42,_xlfn.XLOOKUP('Berekeningen Groene KPI''s'!E$3,'Brondata Groene KPI''s'!$BA$6:$BF$6,'Brondata Groene KPI''s'!$BA$7:$BF$42))</f>
        <v>0.14093531249287461</v>
      </c>
      <c r="F16" s="150" cm="1">
        <f t="array" ref="F16">_xlfn.XLOOKUP($B16,'Brondata Groene KPI''s'!$D$7:$D$42,_xlfn.XLOOKUP('Berekeningen Groene KPI''s'!F$3,'Brondata Groene KPI''s'!$BA$6:$BF$6,'Brondata Groene KPI''s'!$BA$7:$BF$42))</f>
        <v>0.492213329685113</v>
      </c>
      <c r="G16" s="150" cm="1">
        <f t="array" ref="G16">_xlfn.XLOOKUP($B16,'Brondata Groene KPI''s'!$D$7:$D$42,_xlfn.XLOOKUP('Berekeningen Groene KPI''s'!G$3,'Brondata Groene KPI''s'!$BA$6:$BF$6,'Brondata Groene KPI''s'!$BA$7:$BF$42))</f>
        <v>0</v>
      </c>
      <c r="H16" s="150" cm="1">
        <f t="array" ref="H16">_xlfn.XLOOKUP($B16,'Brondata Groene KPI''s'!$D$7:$D$42,_xlfn.XLOOKUP('Berekeningen Groene KPI''s'!H$3,'Brondata Groene KPI''s'!$BA$6:$BF$6,'Brondata Groene KPI''s'!$BA$7:$BF$42))</f>
        <v>0.24333629751236971</v>
      </c>
    </row>
    <row r="17" spans="2:8">
      <c r="B17" s="165" t="s">
        <v>418</v>
      </c>
      <c r="C17" s="150" cm="1">
        <f t="array" ref="C17">_xlfn.XLOOKUP($B17,'Brondata Groene KPI''s'!$D$7:$D$42,_xlfn.XLOOKUP('Berekeningen Groene KPI''s'!C$3,'Brondata Groene KPI''s'!$BA$6:$BF$6,'Brondata Groene KPI''s'!$BA$7:$BF$42))</f>
        <v>4.5661593156315967E-2</v>
      </c>
      <c r="D17" s="150" cm="1">
        <f t="array" ref="D17">_xlfn.XLOOKUP($B17,'Brondata Groene KPI''s'!$D$7:$D$42,_xlfn.XLOOKUP('Berekeningen Groene KPI''s'!D$3,'Brondata Groene KPI''s'!$BA$6:$BF$6,'Brondata Groene KPI''s'!$BA$7:$BF$42))</f>
        <v>0.12197684482245461</v>
      </c>
      <c r="E17" s="150" cm="1">
        <f t="array" ref="E17">_xlfn.XLOOKUP($B17,'Brondata Groene KPI''s'!$D$7:$D$42,_xlfn.XLOOKUP('Berekeningen Groene KPI''s'!E$3,'Brondata Groene KPI''s'!$BA$6:$BF$6,'Brondata Groene KPI''s'!$BA$7:$BF$42))</f>
        <v>7.6360514126688261E-2</v>
      </c>
      <c r="F17" s="150" cm="1">
        <f t="array" ref="F17">_xlfn.XLOOKUP($B17,'Brondata Groene KPI''s'!$D$7:$D$42,_xlfn.XLOOKUP('Berekeningen Groene KPI''s'!F$3,'Brondata Groene KPI''s'!$BA$6:$BF$6,'Brondata Groene KPI''s'!$BA$7:$BF$42))</f>
        <v>0.61103498788200483</v>
      </c>
      <c r="G17" s="150" cm="1">
        <f t="array" ref="G17">_xlfn.XLOOKUP($B17,'Brondata Groene KPI''s'!$D$7:$D$42,_xlfn.XLOOKUP('Berekeningen Groene KPI''s'!G$3,'Brondata Groene KPI''s'!$BA$6:$BF$6,'Brondata Groene KPI''s'!$BA$7:$BF$42))</f>
        <v>4.1147691408773511E-6</v>
      </c>
      <c r="H17" s="150" cm="1">
        <f t="array" ref="H17">_xlfn.XLOOKUP($B17,'Brondata Groene KPI''s'!$D$7:$D$42,_xlfn.XLOOKUP('Berekeningen Groene KPI''s'!H$3,'Brondata Groene KPI''s'!$BA$6:$BF$6,'Brondata Groene KPI''s'!$BA$7:$BF$42))</f>
        <v>0.14496194524339551</v>
      </c>
    </row>
    <row r="18" spans="2:8">
      <c r="B18" s="165" t="s">
        <v>413</v>
      </c>
      <c r="C18" s="150" cm="1">
        <f t="array" ref="C18">_xlfn.XLOOKUP($B18,'Brondata Groene KPI''s'!$D$7:$D$42,_xlfn.XLOOKUP('Berekeningen Groene KPI''s'!C$3,'Brondata Groene KPI''s'!$BA$6:$BF$6,'Brondata Groene KPI''s'!$BA$7:$BF$42))</f>
        <v>2.6707794860368391E-2</v>
      </c>
      <c r="D18" s="150" cm="1">
        <f t="array" ref="D18">_xlfn.XLOOKUP($B18,'Brondata Groene KPI''s'!$D$7:$D$42,_xlfn.XLOOKUP('Berekeningen Groene KPI''s'!D$3,'Brondata Groene KPI''s'!$BA$6:$BF$6,'Brondata Groene KPI''s'!$BA$7:$BF$42))</f>
        <v>2.5254846256684491E-2</v>
      </c>
      <c r="E18" s="150" cm="1">
        <f t="array" ref="E18">_xlfn.XLOOKUP($B18,'Brondata Groene KPI''s'!$D$7:$D$42,_xlfn.XLOOKUP('Berekeningen Groene KPI''s'!E$3,'Brondata Groene KPI''s'!$BA$6:$BF$6,'Brondata Groene KPI''s'!$BA$7:$BF$42))</f>
        <v>0.27938391265597151</v>
      </c>
      <c r="F18" s="150" cm="1">
        <f t="array" ref="F18">_xlfn.XLOOKUP($B18,'Brondata Groene KPI''s'!$D$7:$D$42,_xlfn.XLOOKUP('Berekeningen Groene KPI''s'!F$3,'Brondata Groene KPI''s'!$BA$6:$BF$6,'Brondata Groene KPI''s'!$BA$7:$BF$42))</f>
        <v>0.44214432932263809</v>
      </c>
      <c r="G18" s="150" cm="1">
        <f t="array" ref="G18">_xlfn.XLOOKUP($B18,'Brondata Groene KPI''s'!$D$7:$D$42,_xlfn.XLOOKUP('Berekeningen Groene KPI''s'!G$3,'Brondata Groene KPI''s'!$BA$6:$BF$6,'Brondata Groene KPI''s'!$BA$7:$BF$42))</f>
        <v>0</v>
      </c>
      <c r="H18" s="150" cm="1">
        <f t="array" ref="H18">_xlfn.XLOOKUP($B18,'Brondata Groene KPI''s'!$D$7:$D$42,_xlfn.XLOOKUP('Berekeningen Groene KPI''s'!H$3,'Brondata Groene KPI''s'!$BA$6:$BF$6,'Brondata Groene KPI''s'!$BA$7:$BF$42))</f>
        <v>0.2265091169043375</v>
      </c>
    </row>
    <row r="19" spans="2:8">
      <c r="B19" s="165" t="s">
        <v>336</v>
      </c>
      <c r="C19" s="150" cm="1">
        <f t="array" ref="C19">_xlfn.XLOOKUP($B19,'Brondata Groene KPI''s'!$D$7:$D$42,_xlfn.XLOOKUP('Berekeningen Groene KPI''s'!C$3,'Brondata Groene KPI''s'!$BA$6:$BF$6,'Brondata Groene KPI''s'!$BA$7:$BF$42))</f>
        <v>0</v>
      </c>
      <c r="D19" s="150" cm="1">
        <f t="array" ref="D19">_xlfn.XLOOKUP($B19,'Brondata Groene KPI''s'!$D$7:$D$42,_xlfn.XLOOKUP('Berekeningen Groene KPI''s'!D$3,'Brondata Groene KPI''s'!$BA$6:$BF$6,'Brondata Groene KPI''s'!$BA$7:$BF$42))</f>
        <v>7.4962701336662302E-2</v>
      </c>
      <c r="E19" s="150" cm="1">
        <f t="array" ref="E19">_xlfn.XLOOKUP($B19,'Brondata Groene KPI''s'!$D$7:$D$42,_xlfn.XLOOKUP('Berekeningen Groene KPI''s'!E$3,'Brondata Groene KPI''s'!$BA$6:$BF$6,'Brondata Groene KPI''s'!$BA$7:$BF$42))</f>
        <v>9.6337119020795905E-2</v>
      </c>
      <c r="F19" s="150" cm="1">
        <f t="array" ref="F19">_xlfn.XLOOKUP($B19,'Brondata Groene KPI''s'!$D$7:$D$42,_xlfn.XLOOKUP('Berekeningen Groene KPI''s'!F$3,'Brondata Groene KPI''s'!$BA$6:$BF$6,'Brondata Groene KPI''s'!$BA$7:$BF$42))</f>
        <v>0.4377492920865938</v>
      </c>
      <c r="G19" s="150" cm="1">
        <f t="array" ref="G19">_xlfn.XLOOKUP($B19,'Brondata Groene KPI''s'!$D$7:$D$42,_xlfn.XLOOKUP('Berekeningen Groene KPI''s'!G$3,'Brondata Groene KPI''s'!$BA$6:$BF$6,'Brondata Groene KPI''s'!$BA$7:$BF$42))</f>
        <v>1.5893797765124989E-2</v>
      </c>
      <c r="H19" s="150" cm="1">
        <f t="array" ref="H19">_xlfn.XLOOKUP($B19,'Brondata Groene KPI''s'!$D$7:$D$42,_xlfn.XLOOKUP('Berekeningen Groene KPI''s'!H$3,'Brondata Groene KPI''s'!$BA$6:$BF$6,'Brondata Groene KPI''s'!$BA$7:$BF$42))</f>
        <v>0.37505708979082297</v>
      </c>
    </row>
    <row r="20" spans="2:8">
      <c r="B20" s="165" t="s">
        <v>392</v>
      </c>
      <c r="C20" s="150" cm="1">
        <f t="array" ref="C20">_xlfn.XLOOKUP($B20,'Brondata Groene KPI''s'!$D$7:$D$42,_xlfn.XLOOKUP('Berekeningen Groene KPI''s'!C$3,'Brondata Groene KPI''s'!$BA$6:$BF$6,'Brondata Groene KPI''s'!$BA$7:$BF$42))</f>
        <v>0</v>
      </c>
      <c r="D20" s="150" cm="1">
        <f t="array" ref="D20">_xlfn.XLOOKUP($B20,'Brondata Groene KPI''s'!$D$7:$D$42,_xlfn.XLOOKUP('Berekeningen Groene KPI''s'!D$3,'Brondata Groene KPI''s'!$BA$6:$BF$6,'Brondata Groene KPI''s'!$BA$7:$BF$42))</f>
        <v>0.15197517201558969</v>
      </c>
      <c r="E20" s="150" cm="1">
        <f t="array" ref="E20">_xlfn.XLOOKUP($B20,'Brondata Groene KPI''s'!$D$7:$D$42,_xlfn.XLOOKUP('Berekeningen Groene KPI''s'!E$3,'Brondata Groene KPI''s'!$BA$6:$BF$6,'Brondata Groene KPI''s'!$BA$7:$BF$42))</f>
        <v>0.1050858875042102</v>
      </c>
      <c r="F20" s="150" cm="1">
        <f t="array" ref="F20">_xlfn.XLOOKUP($B20,'Brondata Groene KPI''s'!$D$7:$D$42,_xlfn.XLOOKUP('Berekeningen Groene KPI''s'!F$3,'Brondata Groene KPI''s'!$BA$6:$BF$6,'Brondata Groene KPI''s'!$BA$7:$BF$42))</f>
        <v>0.51982389452918254</v>
      </c>
      <c r="G20" s="150" cm="1">
        <f t="array" ref="G20">_xlfn.XLOOKUP($B20,'Brondata Groene KPI''s'!$D$7:$D$42,_xlfn.XLOOKUP('Berekeningen Groene KPI''s'!G$3,'Brondata Groene KPI''s'!$BA$6:$BF$6,'Brondata Groene KPI''s'!$BA$7:$BF$42))</f>
        <v>7.9391810614444502E-4</v>
      </c>
      <c r="H20" s="150" cm="1">
        <f t="array" ref="H20">_xlfn.XLOOKUP($B20,'Brondata Groene KPI''s'!$D$7:$D$42,_xlfn.XLOOKUP('Berekeningen Groene KPI''s'!H$3,'Brondata Groene KPI''s'!$BA$6:$BF$6,'Brondata Groene KPI''s'!$BA$7:$BF$42))</f>
        <v>0.22232112784487321</v>
      </c>
    </row>
    <row r="21" spans="2:8">
      <c r="B21" s="165" t="s">
        <v>461</v>
      </c>
      <c r="C21" s="150" cm="1">
        <f t="array" ref="C21">_xlfn.XLOOKUP($B21,'Brondata Groene KPI''s'!$D$7:$D$42,_xlfn.XLOOKUP('Berekeningen Groene KPI''s'!C$3,'Brondata Groene KPI''s'!$BA$6:$BF$6,'Brondata Groene KPI''s'!$BA$7:$BF$42))</f>
        <v>2.2102633096290599E-3</v>
      </c>
      <c r="D21" s="150" cm="1">
        <f t="array" ref="D21">_xlfn.XLOOKUP($B21,'Brondata Groene KPI''s'!$D$7:$D$42,_xlfn.XLOOKUP('Berekeningen Groene KPI''s'!D$3,'Brondata Groene KPI''s'!$BA$6:$BF$6,'Brondata Groene KPI''s'!$BA$7:$BF$42))</f>
        <v>4.1706707668652698E-2</v>
      </c>
      <c r="E21" s="150" cm="1">
        <f t="array" ref="E21">_xlfn.XLOOKUP($B21,'Brondata Groene KPI''s'!$D$7:$D$42,_xlfn.XLOOKUP('Berekeningen Groene KPI''s'!E$3,'Brondata Groene KPI''s'!$BA$6:$BF$6,'Brondata Groene KPI''s'!$BA$7:$BF$42))</f>
        <v>0.11024622546821281</v>
      </c>
      <c r="F21" s="150" cm="1">
        <f t="array" ref="F21">_xlfn.XLOOKUP($B21,'Brondata Groene KPI''s'!$D$7:$D$42,_xlfn.XLOOKUP('Berekeningen Groene KPI''s'!F$3,'Brondata Groene KPI''s'!$BA$6:$BF$6,'Brondata Groene KPI''s'!$BA$7:$BF$42))</f>
        <v>0.57551199094539474</v>
      </c>
      <c r="G21" s="150" cm="1">
        <f t="array" ref="G21">_xlfn.XLOOKUP($B21,'Brondata Groene KPI''s'!$D$7:$D$42,_xlfn.XLOOKUP('Berekeningen Groene KPI''s'!G$3,'Brondata Groene KPI''s'!$BA$6:$BF$6,'Brondata Groene KPI''s'!$BA$7:$BF$42))</f>
        <v>0</v>
      </c>
      <c r="H21" s="150" cm="1">
        <f t="array" ref="H21">_xlfn.XLOOKUP($B21,'Brondata Groene KPI''s'!$D$7:$D$42,_xlfn.XLOOKUP('Berekeningen Groene KPI''s'!H$3,'Brondata Groene KPI''s'!$BA$6:$BF$6,'Brondata Groene KPI''s'!$BA$7:$BF$42))</f>
        <v>0.2703248126081107</v>
      </c>
    </row>
    <row r="22" spans="2:8">
      <c r="B22" s="165" t="s">
        <v>467</v>
      </c>
      <c r="C22" s="150" cm="1">
        <f t="array" ref="C22">_xlfn.XLOOKUP($B22,'Brondata Groene KPI''s'!$D$7:$D$42,_xlfn.XLOOKUP('Berekeningen Groene KPI''s'!C$3,'Brondata Groene KPI''s'!$BA$6:$BF$6,'Brondata Groene KPI''s'!$BA$7:$BF$42))</f>
        <v>1.548419064135518E-5</v>
      </c>
      <c r="D22" s="150" cm="1">
        <f t="array" ref="D22">_xlfn.XLOOKUP($B22,'Brondata Groene KPI''s'!$D$7:$D$42,_xlfn.XLOOKUP('Berekeningen Groene KPI''s'!D$3,'Brondata Groene KPI''s'!$BA$6:$BF$6,'Brondata Groene KPI''s'!$BA$7:$BF$42))</f>
        <v>8.0053265615806266E-2</v>
      </c>
      <c r="E22" s="150" cm="1">
        <f t="array" ref="E22">_xlfn.XLOOKUP($B22,'Brondata Groene KPI''s'!$D$7:$D$42,_xlfn.XLOOKUP('Berekeningen Groene KPI''s'!E$3,'Brondata Groene KPI''s'!$BA$6:$BF$6,'Brondata Groene KPI''s'!$BA$7:$BF$42))</f>
        <v>9.0133473723328486E-2</v>
      </c>
      <c r="F22" s="150" cm="1">
        <f t="array" ref="F22">_xlfn.XLOOKUP($B22,'Brondata Groene KPI''s'!$D$7:$D$42,_xlfn.XLOOKUP('Berekeningen Groene KPI''s'!F$3,'Brondata Groene KPI''s'!$BA$6:$BF$6,'Brondata Groene KPI''s'!$BA$7:$BF$42))</f>
        <v>0.42418940261992499</v>
      </c>
      <c r="G22" s="150" cm="1">
        <f t="array" ref="G22">_xlfn.XLOOKUP($B22,'Brondata Groene KPI''s'!$D$7:$D$42,_xlfn.XLOOKUP('Berekeningen Groene KPI''s'!G$3,'Brondata Groene KPI''s'!$BA$6:$BF$6,'Brondata Groene KPI''s'!$BA$7:$BF$42))</f>
        <v>5.7910872998668357E-3</v>
      </c>
      <c r="H22" s="150" cm="1">
        <f t="array" ref="H22">_xlfn.XLOOKUP($B22,'Brondata Groene KPI''s'!$D$7:$D$42,_xlfn.XLOOKUP('Berekeningen Groene KPI''s'!H$3,'Brondata Groene KPI''s'!$BA$6:$BF$6,'Brondata Groene KPI''s'!$BA$7:$BF$42))</f>
        <v>0.39981728655043203</v>
      </c>
    </row>
    <row r="23" spans="2:8">
      <c r="B23" s="165" t="s">
        <v>503</v>
      </c>
      <c r="C23" s="150" cm="1">
        <f t="array" ref="C23">_xlfn.XLOOKUP($B23,'Brondata Groene KPI''s'!$D$7:$D$42,_xlfn.XLOOKUP('Berekeningen Groene KPI''s'!C$3,'Brondata Groene KPI''s'!$BA$6:$BF$6,'Brondata Groene KPI''s'!$BA$7:$BF$42))</f>
        <v>0</v>
      </c>
      <c r="D23" s="150" cm="1">
        <f t="array" ref="D23">_xlfn.XLOOKUP($B23,'Brondata Groene KPI''s'!$D$7:$D$42,_xlfn.XLOOKUP('Berekeningen Groene KPI''s'!D$3,'Brondata Groene KPI''s'!$BA$6:$BF$6,'Brondata Groene KPI''s'!$BA$7:$BF$42))</f>
        <v>0.12427188448601199</v>
      </c>
      <c r="E23" s="150" cm="1">
        <f t="array" ref="E23">_xlfn.XLOOKUP($B23,'Brondata Groene KPI''s'!$D$7:$D$42,_xlfn.XLOOKUP('Berekeningen Groene KPI''s'!E$3,'Brondata Groene KPI''s'!$BA$6:$BF$6,'Brondata Groene KPI''s'!$BA$7:$BF$42))</f>
        <v>9.9762080564443356E-2</v>
      </c>
      <c r="F23" s="150" cm="1">
        <f t="array" ref="F23">_xlfn.XLOOKUP($B23,'Brondata Groene KPI''s'!$D$7:$D$42,_xlfn.XLOOKUP('Berekeningen Groene KPI''s'!F$3,'Brondata Groene KPI''s'!$BA$6:$BF$6,'Brondata Groene KPI''s'!$BA$7:$BF$42))</f>
        <v>0.53341127245877429</v>
      </c>
      <c r="G23" s="150" cm="1">
        <f t="array" ref="G23">_xlfn.XLOOKUP($B23,'Brondata Groene KPI''s'!$D$7:$D$42,_xlfn.XLOOKUP('Berekeningen Groene KPI''s'!G$3,'Brondata Groene KPI''s'!$BA$6:$BF$6,'Brondata Groene KPI''s'!$BA$7:$BF$42))</f>
        <v>2.727869390433998E-3</v>
      </c>
      <c r="H23" s="150" cm="1">
        <f t="array" ref="H23">_xlfn.XLOOKUP($B23,'Brondata Groene KPI''s'!$D$7:$D$42,_xlfn.XLOOKUP('Berekeningen Groene KPI''s'!H$3,'Brondata Groene KPI''s'!$BA$6:$BF$6,'Brondata Groene KPI''s'!$BA$7:$BF$42))</f>
        <v>0.23982689310033639</v>
      </c>
    </row>
    <row r="24" spans="2:8">
      <c r="B24" s="165" t="s">
        <v>369</v>
      </c>
      <c r="C24" s="150" cm="1">
        <f t="array" ref="C24">_xlfn.XLOOKUP($B24,'Brondata Groene KPI''s'!$D$7:$D$42,_xlfn.XLOOKUP('Berekeningen Groene KPI''s'!C$3,'Brondata Groene KPI''s'!$BA$6:$BF$6,'Brondata Groene KPI''s'!$BA$7:$BF$42))</f>
        <v>0</v>
      </c>
      <c r="D24" s="150" cm="1">
        <f t="array" ref="D24">_xlfn.XLOOKUP($B24,'Brondata Groene KPI''s'!$D$7:$D$42,_xlfn.XLOOKUP('Berekeningen Groene KPI''s'!D$3,'Brondata Groene KPI''s'!$BA$6:$BF$6,'Brondata Groene KPI''s'!$BA$7:$BF$42))</f>
        <v>0.1538702790074909</v>
      </c>
      <c r="E24" s="150" cm="1">
        <f t="array" ref="E24">_xlfn.XLOOKUP($B24,'Brondata Groene KPI''s'!$D$7:$D$42,_xlfn.XLOOKUP('Berekeningen Groene KPI''s'!E$3,'Brondata Groene KPI''s'!$BA$6:$BF$6,'Brondata Groene KPI''s'!$BA$7:$BF$42))</f>
        <v>0.15450959578292181</v>
      </c>
      <c r="F24" s="150" cm="1">
        <f t="array" ref="F24">_xlfn.XLOOKUP($B24,'Brondata Groene KPI''s'!$D$7:$D$42,_xlfn.XLOOKUP('Berekeningen Groene KPI''s'!F$3,'Brondata Groene KPI''s'!$BA$6:$BF$6,'Brondata Groene KPI''s'!$BA$7:$BF$42))</f>
        <v>0.46936707639232339</v>
      </c>
      <c r="G24" s="150" cm="1">
        <f t="array" ref="G24">_xlfn.XLOOKUP($B24,'Brondata Groene KPI''s'!$D$7:$D$42,_xlfn.XLOOKUP('Berekeningen Groene KPI''s'!G$3,'Brondata Groene KPI''s'!$BA$6:$BF$6,'Brondata Groene KPI''s'!$BA$7:$BF$42))</f>
        <v>0</v>
      </c>
      <c r="H24" s="150" cm="1">
        <f t="array" ref="H24">_xlfn.XLOOKUP($B24,'Brondata Groene KPI''s'!$D$7:$D$42,_xlfn.XLOOKUP('Berekeningen Groene KPI''s'!H$3,'Brondata Groene KPI''s'!$BA$6:$BF$6,'Brondata Groene KPI''s'!$BA$7:$BF$42))</f>
        <v>0.22225304881726399</v>
      </c>
    </row>
    <row r="25" spans="2:8">
      <c r="B25" s="165" t="s">
        <v>343</v>
      </c>
      <c r="C25" s="150" cm="1">
        <f t="array" ref="C25">_xlfn.XLOOKUP($B25,'Brondata Groene KPI''s'!$D$7:$D$42,_xlfn.XLOOKUP('Berekeningen Groene KPI''s'!C$3,'Brondata Groene KPI''s'!$BA$6:$BF$6,'Brondata Groene KPI''s'!$BA$7:$BF$42))</f>
        <v>0</v>
      </c>
      <c r="D25" s="150" cm="1">
        <f t="array" ref="D25">_xlfn.XLOOKUP($B25,'Brondata Groene KPI''s'!$D$7:$D$42,_xlfn.XLOOKUP('Berekeningen Groene KPI''s'!D$3,'Brondata Groene KPI''s'!$BA$6:$BF$6,'Brondata Groene KPI''s'!$BA$7:$BF$42))</f>
        <v>5.5546574412363797E-2</v>
      </c>
      <c r="E25" s="150" cm="1">
        <f t="array" ref="E25">_xlfn.XLOOKUP($B25,'Brondata Groene KPI''s'!$D$7:$D$42,_xlfn.XLOOKUP('Berekeningen Groene KPI''s'!E$3,'Brondata Groene KPI''s'!$BA$6:$BF$6,'Brondata Groene KPI''s'!$BA$7:$BF$42))</f>
        <v>9.224352549387306E-2</v>
      </c>
      <c r="F25" s="150" cm="1">
        <f t="array" ref="F25">_xlfn.XLOOKUP($B25,'Brondata Groene KPI''s'!$D$7:$D$42,_xlfn.XLOOKUP('Berekeningen Groene KPI''s'!F$3,'Brondata Groene KPI''s'!$BA$6:$BF$6,'Brondata Groene KPI''s'!$BA$7:$BF$42))</f>
        <v>0.62430081800252191</v>
      </c>
      <c r="G25" s="150" cm="1">
        <f t="array" ref="G25">_xlfn.XLOOKUP($B25,'Brondata Groene KPI''s'!$D$7:$D$42,_xlfn.XLOOKUP('Berekeningen Groene KPI''s'!G$3,'Brondata Groene KPI''s'!$BA$6:$BF$6,'Brondata Groene KPI''s'!$BA$7:$BF$42))</f>
        <v>0</v>
      </c>
      <c r="H25" s="150" cm="1">
        <f t="array" ref="H25">_xlfn.XLOOKUP($B25,'Brondata Groene KPI''s'!$D$7:$D$42,_xlfn.XLOOKUP('Berekeningen Groene KPI''s'!H$3,'Brondata Groene KPI''s'!$BA$6:$BF$6,'Brondata Groene KPI''s'!$BA$7:$BF$42))</f>
        <v>0.22790908209124119</v>
      </c>
    </row>
    <row r="26" spans="2:8">
      <c r="B26" s="165" t="s">
        <v>400</v>
      </c>
      <c r="C26" s="150" cm="1">
        <f t="array" ref="C26">_xlfn.XLOOKUP($B26,'Brondata Groene KPI''s'!$D$7:$D$42,_xlfn.XLOOKUP('Berekeningen Groene KPI''s'!C$3,'Brondata Groene KPI''s'!$BA$6:$BF$6,'Brondata Groene KPI''s'!$BA$7:$BF$42))</f>
        <v>0</v>
      </c>
      <c r="D26" s="150" cm="1">
        <f t="array" ref="D26">_xlfn.XLOOKUP($B26,'Brondata Groene KPI''s'!$D$7:$D$42,_xlfn.XLOOKUP('Berekeningen Groene KPI''s'!D$3,'Brondata Groene KPI''s'!$BA$6:$BF$6,'Brondata Groene KPI''s'!$BA$7:$BF$42))</f>
        <v>9.0188205771643659E-2</v>
      </c>
      <c r="E26" s="150" cm="1">
        <f t="array" ref="E26">_xlfn.XLOOKUP($B26,'Brondata Groene KPI''s'!$D$7:$D$42,_xlfn.XLOOKUP('Berekeningen Groene KPI''s'!E$3,'Brondata Groene KPI''s'!$BA$6:$BF$6,'Brondata Groene KPI''s'!$BA$7:$BF$42))</f>
        <v>7.0263488080301126E-2</v>
      </c>
      <c r="F26" s="150" cm="1">
        <f t="array" ref="F26">_xlfn.XLOOKUP($B26,'Brondata Groene KPI''s'!$D$7:$D$42,_xlfn.XLOOKUP('Berekeningen Groene KPI''s'!F$3,'Brondata Groene KPI''s'!$BA$6:$BF$6,'Brondata Groene KPI''s'!$BA$7:$BF$42))</f>
        <v>0.57048933500627352</v>
      </c>
      <c r="G26" s="150" cm="1">
        <f t="array" ref="G26">_xlfn.XLOOKUP($B26,'Brondata Groene KPI''s'!$D$7:$D$42,_xlfn.XLOOKUP('Berekeningen Groene KPI''s'!G$3,'Brondata Groene KPI''s'!$BA$6:$BF$6,'Brondata Groene KPI''s'!$BA$7:$BF$42))</f>
        <v>1.003764115432873E-4</v>
      </c>
      <c r="H26" s="150" cm="1">
        <f t="array" ref="H26">_xlfn.XLOOKUP($B26,'Brondata Groene KPI''s'!$D$7:$D$42,_xlfn.XLOOKUP('Berekeningen Groene KPI''s'!H$3,'Brondata Groene KPI''s'!$BA$6:$BF$6,'Brondata Groene KPI''s'!$BA$7:$BF$42))</f>
        <v>0.26895859473023842</v>
      </c>
    </row>
    <row r="27" spans="2:8">
      <c r="B27" s="165" t="s">
        <v>420</v>
      </c>
      <c r="C27" s="150" cm="1">
        <f t="array" ref="C27">_xlfn.XLOOKUP($B27,'Brondata Groene KPI''s'!$D$7:$D$42,_xlfn.XLOOKUP('Berekeningen Groene KPI''s'!C$3,'Brondata Groene KPI''s'!$BA$6:$BF$6,'Brondata Groene KPI''s'!$BA$7:$BF$42))</f>
        <v>0</v>
      </c>
      <c r="D27" s="150" cm="1">
        <f t="array" ref="D27">_xlfn.XLOOKUP($B27,'Brondata Groene KPI''s'!$D$7:$D$42,_xlfn.XLOOKUP('Berekeningen Groene KPI''s'!D$3,'Brondata Groene KPI''s'!$BA$6:$BF$6,'Brondata Groene KPI''s'!$BA$7:$BF$42))</f>
        <v>0.199297068455947</v>
      </c>
      <c r="E27" s="150" cm="1">
        <f t="array" ref="E27">_xlfn.XLOOKUP($B27,'Brondata Groene KPI''s'!$D$7:$D$42,_xlfn.XLOOKUP('Berekeningen Groene KPI''s'!E$3,'Brondata Groene KPI''s'!$BA$6:$BF$6,'Brondata Groene KPI''s'!$BA$7:$BF$42))</f>
        <v>9.9832254972441886E-2</v>
      </c>
      <c r="F27" s="150" cm="1">
        <f t="array" ref="F27">_xlfn.XLOOKUP($B27,'Brondata Groene KPI''s'!$D$7:$D$42,_xlfn.XLOOKUP('Berekeningen Groene KPI''s'!F$3,'Brondata Groene KPI''s'!$BA$6:$BF$6,'Brondata Groene KPI''s'!$BA$7:$BF$42))</f>
        <v>0.50543973160795586</v>
      </c>
      <c r="G27" s="150" cm="1">
        <f t="array" ref="G27">_xlfn.XLOOKUP($B27,'Brondata Groene KPI''s'!$D$7:$D$42,_xlfn.XLOOKUP('Berekeningen Groene KPI''s'!G$3,'Brondata Groene KPI''s'!$BA$6:$BF$6,'Brondata Groene KPI''s'!$BA$7:$BF$42))</f>
        <v>0</v>
      </c>
      <c r="H27" s="150" cm="1">
        <f t="array" ref="H27">_xlfn.XLOOKUP($B27,'Brondata Groene KPI''s'!$D$7:$D$42,_xlfn.XLOOKUP('Berekeningen Groene KPI''s'!H$3,'Brondata Groene KPI''s'!$BA$6:$BF$6,'Brondata Groene KPI''s'!$BA$7:$BF$42))</f>
        <v>0.19543094496365521</v>
      </c>
    </row>
    <row r="28" spans="2:8">
      <c r="B28" s="165" t="s">
        <v>432</v>
      </c>
      <c r="C28" s="150" cm="1">
        <f t="array" ref="C28">_xlfn.XLOOKUP($B28,'Brondata Groene KPI''s'!$D$7:$D$42,_xlfn.XLOOKUP('Berekeningen Groene KPI''s'!C$3,'Brondata Groene KPI''s'!$BA$6:$BF$6,'Brondata Groene KPI''s'!$BA$7:$BF$42))</f>
        <v>0</v>
      </c>
      <c r="D28" s="150" cm="1">
        <f t="array" ref="D28">_xlfn.XLOOKUP($B28,'Brondata Groene KPI''s'!$D$7:$D$42,_xlfn.XLOOKUP('Berekeningen Groene KPI''s'!D$3,'Brondata Groene KPI''s'!$BA$6:$BF$6,'Brondata Groene KPI''s'!$BA$7:$BF$42))</f>
        <v>9.7248151291065579E-2</v>
      </c>
      <c r="E28" s="150" cm="1">
        <f t="array" ref="E28">_xlfn.XLOOKUP($B28,'Brondata Groene KPI''s'!$D$7:$D$42,_xlfn.XLOOKUP('Berekeningen Groene KPI''s'!E$3,'Brondata Groene KPI''s'!$BA$6:$BF$6,'Brondata Groene KPI''s'!$BA$7:$BF$42))</f>
        <v>9.12353012486362E-2</v>
      </c>
      <c r="F28" s="150" cm="1">
        <f t="array" ref="F28">_xlfn.XLOOKUP($B28,'Brondata Groene KPI''s'!$D$7:$D$42,_xlfn.XLOOKUP('Berekeningen Groene KPI''s'!F$3,'Brondata Groene KPI''s'!$BA$6:$BF$6,'Brondata Groene KPI''s'!$BA$7:$BF$42))</f>
        <v>0.51317735483088855</v>
      </c>
      <c r="G28" s="150" cm="1">
        <f t="array" ref="G28">_xlfn.XLOOKUP($B28,'Brondata Groene KPI''s'!$D$7:$D$42,_xlfn.XLOOKUP('Berekeningen Groene KPI''s'!G$3,'Brondata Groene KPI''s'!$BA$6:$BF$6,'Brondata Groene KPI''s'!$BA$7:$BF$42))</f>
        <v>5.7461510486119527E-3</v>
      </c>
      <c r="H28" s="150" cm="1">
        <f t="array" ref="H28">_xlfn.XLOOKUP($B28,'Brondata Groene KPI''s'!$D$7:$D$42,_xlfn.XLOOKUP('Berekeningen Groene KPI''s'!H$3,'Brondata Groene KPI''s'!$BA$6:$BF$6,'Brondata Groene KPI''s'!$BA$7:$BF$42))</f>
        <v>0.29259304158079769</v>
      </c>
    </row>
    <row r="29" spans="2:8">
      <c r="B29" s="165" t="s">
        <v>511</v>
      </c>
      <c r="C29" s="150" cm="1">
        <f t="array" ref="C29">_xlfn.XLOOKUP($B29,'Brondata Groene KPI''s'!$D$7:$D$42,_xlfn.XLOOKUP('Berekeningen Groene KPI''s'!C$3,'Brondata Groene KPI''s'!$BA$6:$BF$6,'Brondata Groene KPI''s'!$BA$7:$BF$42))</f>
        <v>0</v>
      </c>
      <c r="D29" s="150" cm="1">
        <f t="array" ref="D29">_xlfn.XLOOKUP($B29,'Brondata Groene KPI''s'!$D$7:$D$42,_xlfn.XLOOKUP('Berekeningen Groene KPI''s'!D$3,'Brondata Groene KPI''s'!$BA$6:$BF$6,'Brondata Groene KPI''s'!$BA$7:$BF$42))</f>
        <v>5.8006362672322377E-2</v>
      </c>
      <c r="E29" s="150" cm="1">
        <f t="array" ref="E29">_xlfn.XLOOKUP($B29,'Brondata Groene KPI''s'!$D$7:$D$42,_xlfn.XLOOKUP('Berekeningen Groene KPI''s'!E$3,'Brondata Groene KPI''s'!$BA$6:$BF$6,'Brondata Groene KPI''s'!$BA$7:$BF$42))</f>
        <v>6.2407211028632018E-2</v>
      </c>
      <c r="F29" s="150" cm="1">
        <f t="array" ref="F29">_xlfn.XLOOKUP($B29,'Brondata Groene KPI''s'!$D$7:$D$42,_xlfn.XLOOKUP('Berekeningen Groene KPI''s'!F$3,'Brondata Groene KPI''s'!$BA$6:$BF$6,'Brondata Groene KPI''s'!$BA$7:$BF$42))</f>
        <v>0.52412513255567339</v>
      </c>
      <c r="G29" s="150" cm="1">
        <f t="array" ref="G29">_xlfn.XLOOKUP($B29,'Brondata Groene KPI''s'!$D$7:$D$42,_xlfn.XLOOKUP('Berekeningen Groene KPI''s'!G$3,'Brondata Groene KPI''s'!$BA$6:$BF$6,'Brondata Groene KPI''s'!$BA$7:$BF$42))</f>
        <v>9.5440084835630968E-4</v>
      </c>
      <c r="H29" s="150" cm="1">
        <f t="array" ref="H29">_xlfn.XLOOKUP($B29,'Brondata Groene KPI''s'!$D$7:$D$42,_xlfn.XLOOKUP('Berekeningen Groene KPI''s'!H$3,'Brondata Groene KPI''s'!$BA$6:$BF$6,'Brondata Groene KPI''s'!$BA$7:$BF$42))</f>
        <v>0.35450689289501591</v>
      </c>
    </row>
    <row r="30" spans="2:8">
      <c r="B30" s="165" t="s">
        <v>497</v>
      </c>
      <c r="C30" s="150" cm="1">
        <f t="array" ref="C30">_xlfn.XLOOKUP($B30,'Brondata Groene KPI''s'!$D$7:$D$42,_xlfn.XLOOKUP('Berekeningen Groene KPI''s'!C$3,'Brondata Groene KPI''s'!$BA$6:$BF$6,'Brondata Groene KPI''s'!$BA$7:$BF$42))</f>
        <v>0</v>
      </c>
      <c r="D30" s="150" cm="1">
        <f t="array" ref="D30">_xlfn.XLOOKUP($B30,'Brondata Groene KPI''s'!$D$7:$D$42,_xlfn.XLOOKUP('Berekeningen Groene KPI''s'!D$3,'Brondata Groene KPI''s'!$BA$6:$BF$6,'Brondata Groene KPI''s'!$BA$7:$BF$42))</f>
        <v>7.6636564423592138E-2</v>
      </c>
      <c r="E30" s="150" cm="1">
        <f t="array" ref="E30">_xlfn.XLOOKUP($B30,'Brondata Groene KPI''s'!$D$7:$D$42,_xlfn.XLOOKUP('Berekeningen Groene KPI''s'!E$3,'Brondata Groene KPI''s'!$BA$6:$BF$6,'Brondata Groene KPI''s'!$BA$7:$BF$42))</f>
        <v>9.4985428074806907E-2</v>
      </c>
      <c r="F30" s="150" cm="1">
        <f t="array" ref="F30">_xlfn.XLOOKUP($B30,'Brondata Groene KPI''s'!$D$7:$D$42,_xlfn.XLOOKUP('Berekeningen Groene KPI''s'!F$3,'Brondata Groene KPI''s'!$BA$6:$BF$6,'Brondata Groene KPI''s'!$BA$7:$BF$42))</f>
        <v>0.50426702562829173</v>
      </c>
      <c r="G30" s="150" cm="1">
        <f t="array" ref="G30">_xlfn.XLOOKUP($B30,'Brondata Groene KPI''s'!$D$7:$D$42,_xlfn.XLOOKUP('Berekeningen Groene KPI''s'!G$3,'Brondata Groene KPI''s'!$BA$6:$BF$6,'Brondata Groene KPI''s'!$BA$7:$BF$42))</f>
        <v>3.5547656076427461E-3</v>
      </c>
      <c r="H30" s="150" cm="1">
        <f t="array" ref="H30">_xlfn.XLOOKUP($B30,'Brondata Groene KPI''s'!$D$7:$D$42,_xlfn.XLOOKUP('Berekeningen Groene KPI''s'!H$3,'Brondata Groene KPI''s'!$BA$6:$BF$6,'Brondata Groene KPI''s'!$BA$7:$BF$42))</f>
        <v>0.32055621626566638</v>
      </c>
    </row>
    <row r="31" spans="2:8">
      <c r="B31" s="165" t="s">
        <v>360</v>
      </c>
      <c r="C31" s="150" cm="1">
        <f t="array" ref="C31">_xlfn.XLOOKUP($B31,'Brondata Groene KPI''s'!$D$7:$D$42,_xlfn.XLOOKUP('Berekeningen Groene KPI''s'!C$3,'Brondata Groene KPI''s'!$BA$6:$BF$6,'Brondata Groene KPI''s'!$BA$7:$BF$42))</f>
        <v>0</v>
      </c>
      <c r="D31" s="150" cm="1">
        <f t="array" ref="D31">_xlfn.XLOOKUP($B31,'Brondata Groene KPI''s'!$D$7:$D$42,_xlfn.XLOOKUP('Berekeningen Groene KPI''s'!D$3,'Brondata Groene KPI''s'!$BA$6:$BF$6,'Brondata Groene KPI''s'!$BA$7:$BF$42))</f>
        <v>4.6775244299674272E-2</v>
      </c>
      <c r="E31" s="150" cm="1">
        <f t="array" ref="E31">_xlfn.XLOOKUP($B31,'Brondata Groene KPI''s'!$D$7:$D$42,_xlfn.XLOOKUP('Berekeningen Groene KPI''s'!E$3,'Brondata Groene KPI''s'!$BA$6:$BF$6,'Brondata Groene KPI''s'!$BA$7:$BF$42))</f>
        <v>7.9869706840390881E-2</v>
      </c>
      <c r="F31" s="150" cm="1">
        <f t="array" ref="F31">_xlfn.XLOOKUP($B31,'Brondata Groene KPI''s'!$D$7:$D$42,_xlfn.XLOOKUP('Berekeningen Groene KPI''s'!F$3,'Brondata Groene KPI''s'!$BA$6:$BF$6,'Brondata Groene KPI''s'!$BA$7:$BF$42))</f>
        <v>0.51654723127035829</v>
      </c>
      <c r="G31" s="150" cm="1">
        <f t="array" ref="G31">_xlfn.XLOOKUP($B31,'Brondata Groene KPI''s'!$D$7:$D$42,_xlfn.XLOOKUP('Berekeningen Groene KPI''s'!G$3,'Brondata Groene KPI''s'!$BA$6:$BF$6,'Brondata Groene KPI''s'!$BA$7:$BF$42))</f>
        <v>9.1856677524429966E-3</v>
      </c>
      <c r="H31" s="150" cm="1">
        <f t="array" ref="H31">_xlfn.XLOOKUP($B31,'Brondata Groene KPI''s'!$D$7:$D$42,_xlfn.XLOOKUP('Berekeningen Groene KPI''s'!H$3,'Brondata Groene KPI''s'!$BA$6:$BF$6,'Brondata Groene KPI''s'!$BA$7:$BF$42))</f>
        <v>0.34762214983713358</v>
      </c>
    </row>
    <row r="32" spans="2:8">
      <c r="B32" s="165" t="s">
        <v>448</v>
      </c>
      <c r="C32" s="150" cm="1">
        <f t="array" ref="C32">_xlfn.XLOOKUP($B32,'Brondata Groene KPI''s'!$D$7:$D$42,_xlfn.XLOOKUP('Berekeningen Groene KPI''s'!C$3,'Brondata Groene KPI''s'!$BA$6:$BF$6,'Brondata Groene KPI''s'!$BA$7:$BF$42))</f>
        <v>7.0833967818892438E-2</v>
      </c>
      <c r="D32" s="150" cm="1">
        <f t="array" ref="D32">_xlfn.XLOOKUP($B32,'Brondata Groene KPI''s'!$D$7:$D$42,_xlfn.XLOOKUP('Berekeningen Groene KPI''s'!D$3,'Brondata Groene KPI''s'!$BA$6:$BF$6,'Brondata Groene KPI''s'!$BA$7:$BF$42))</f>
        <v>0.17224167977936819</v>
      </c>
      <c r="E32" s="150" cm="1">
        <f t="array" ref="E32">_xlfn.XLOOKUP($B32,'Brondata Groene KPI''s'!$D$7:$D$42,_xlfn.XLOOKUP('Berekeningen Groene KPI''s'!E$3,'Brondata Groene KPI''s'!$BA$6:$BF$6,'Brondata Groene KPI''s'!$BA$7:$BF$42))</f>
        <v>0.15204811938480281</v>
      </c>
      <c r="F32" s="150" cm="1">
        <f t="array" ref="F32">_xlfn.XLOOKUP($B32,'Brondata Groene KPI''s'!$D$7:$D$42,_xlfn.XLOOKUP('Berekeningen Groene KPI''s'!F$3,'Brondata Groene KPI''s'!$BA$6:$BF$6,'Brondata Groene KPI''s'!$BA$7:$BF$42))</f>
        <v>0.38722230682029679</v>
      </c>
      <c r="G32" s="150" cm="1">
        <f t="array" ref="G32">_xlfn.XLOOKUP($B32,'Brondata Groene KPI''s'!$D$7:$D$42,_xlfn.XLOOKUP('Berekeningen Groene KPI''s'!G$3,'Brondata Groene KPI''s'!$BA$6:$BF$6,'Brondata Groene KPI''s'!$BA$7:$BF$42))</f>
        <v>8.4598074547823296E-5</v>
      </c>
      <c r="H32" s="150" cm="1">
        <f t="array" ref="H32">_xlfn.XLOOKUP($B32,'Brondata Groene KPI''s'!$D$7:$D$42,_xlfn.XLOOKUP('Berekeningen Groene KPI''s'!H$3,'Brondata Groene KPI''s'!$BA$6:$BF$6,'Brondata Groene KPI''s'!$BA$7:$BF$42))</f>
        <v>0.21756932812209201</v>
      </c>
    </row>
    <row r="33" spans="2:14">
      <c r="B33" s="165" t="s">
        <v>304</v>
      </c>
      <c r="C33" s="150" cm="1">
        <f t="array" ref="C33">_xlfn.XLOOKUP($B33,'Brondata Groene KPI''s'!$D$7:$D$42,_xlfn.XLOOKUP('Berekeningen Groene KPI''s'!C$3,'Brondata Groene KPI''s'!$BA$6:$BF$6,'Brondata Groene KPI''s'!$BA$7:$BF$42))</f>
        <v>7.7865661243391659E-4</v>
      </c>
      <c r="D33" s="150" cm="1">
        <f t="array" ref="D33">_xlfn.XLOOKUP($B33,'Brondata Groene KPI''s'!$D$7:$D$42,_xlfn.XLOOKUP('Berekeningen Groene KPI''s'!D$3,'Brondata Groene KPI''s'!$BA$6:$BF$6,'Brondata Groene KPI''s'!$BA$7:$BF$42))</f>
        <v>0.15985000614728909</v>
      </c>
      <c r="E33" s="150" cm="1">
        <f t="array" ref="E33">_xlfn.XLOOKUP($B33,'Brondata Groene KPI''s'!$D$7:$D$42,_xlfn.XLOOKUP('Berekeningen Groene KPI''s'!E$3,'Brondata Groene KPI''s'!$BA$6:$BF$6,'Brondata Groene KPI''s'!$BA$7:$BF$42))</f>
        <v>0.12386787426744809</v>
      </c>
      <c r="F33" s="150" cm="1">
        <f t="array" ref="F33">_xlfn.XLOOKUP($B33,'Brondata Groene KPI''s'!$D$7:$D$42,_xlfn.XLOOKUP('Berekeningen Groene KPI''s'!F$3,'Brondata Groene KPI''s'!$BA$6:$BF$6,'Brondata Groene KPI''s'!$BA$7:$BF$42))</f>
        <v>0.49508216876357519</v>
      </c>
      <c r="G33" s="150" cm="1">
        <f t="array" ref="G33">_xlfn.XLOOKUP($B33,'Brondata Groene KPI''s'!$D$7:$D$42,_xlfn.XLOOKUP('Berekeningen Groene KPI''s'!G$3,'Brondata Groene KPI''s'!$BA$6:$BF$6,'Brondata Groene KPI''s'!$BA$7:$BF$42))</f>
        <v>2.049096348510307E-5</v>
      </c>
      <c r="H33" s="150" cm="1">
        <f t="array" ref="H33">_xlfn.XLOOKUP($B33,'Brondata Groene KPI''s'!$D$7:$D$42,_xlfn.XLOOKUP('Berekeningen Groene KPI''s'!H$3,'Brondata Groene KPI''s'!$BA$6:$BF$6,'Brondata Groene KPI''s'!$BA$7:$BF$42))</f>
        <v>0.22040080324576861</v>
      </c>
    </row>
    <row r="34" spans="2:14">
      <c r="B34" s="165" t="s">
        <v>351</v>
      </c>
      <c r="C34" s="150" cm="1">
        <f t="array" ref="C34">_xlfn.XLOOKUP($B34,'Brondata Groene KPI''s'!$D$7:$D$42,_xlfn.XLOOKUP('Berekeningen Groene KPI''s'!C$3,'Brondata Groene KPI''s'!$BA$6:$BF$6,'Brondata Groene KPI''s'!$BA$7:$BF$42))</f>
        <v>0</v>
      </c>
      <c r="D34" s="150" cm="1">
        <f t="array" ref="D34">_xlfn.XLOOKUP($B34,'Brondata Groene KPI''s'!$D$7:$D$42,_xlfn.XLOOKUP('Berekeningen Groene KPI''s'!D$3,'Brondata Groene KPI''s'!$BA$6:$BF$6,'Brondata Groene KPI''s'!$BA$7:$BF$42))</f>
        <v>2.7929636654393991E-2</v>
      </c>
      <c r="E34" s="150" cm="1">
        <f t="array" ref="E34">_xlfn.XLOOKUP($B34,'Brondata Groene KPI''s'!$D$7:$D$42,_xlfn.XLOOKUP('Berekeningen Groene KPI''s'!E$3,'Brondata Groene KPI''s'!$BA$6:$BF$6,'Brondata Groene KPI''s'!$BA$7:$BF$42))</f>
        <v>9.9111160697683068E-2</v>
      </c>
      <c r="F34" s="150" cm="1">
        <f t="array" ref="F34">_xlfn.XLOOKUP($B34,'Brondata Groene KPI''s'!$D$7:$D$42,_xlfn.XLOOKUP('Berekeningen Groene KPI''s'!F$3,'Brondata Groene KPI''s'!$BA$6:$BF$6,'Brondata Groene KPI''s'!$BA$7:$BF$42))</f>
        <v>0.57465878240172563</v>
      </c>
      <c r="G34" s="150" cm="1">
        <f t="array" ref="G34">_xlfn.XLOOKUP($B34,'Brondata Groene KPI''s'!$D$7:$D$42,_xlfn.XLOOKUP('Berekeningen Groene KPI''s'!G$3,'Brondata Groene KPI''s'!$BA$6:$BF$6,'Brondata Groene KPI''s'!$BA$7:$BF$42))</f>
        <v>0</v>
      </c>
      <c r="H34" s="150" cm="1">
        <f t="array" ref="H34">_xlfn.XLOOKUP($B34,'Brondata Groene KPI''s'!$D$7:$D$42,_xlfn.XLOOKUP('Berekeningen Groene KPI''s'!H$3,'Brondata Groene KPI''s'!$BA$6:$BF$6,'Brondata Groene KPI''s'!$BA$7:$BF$42))</f>
        <v>0.29830042024619741</v>
      </c>
    </row>
    <row r="35" spans="2:14">
      <c r="B35" s="165" t="s">
        <v>427</v>
      </c>
      <c r="C35" s="150" cm="1">
        <f t="array" ref="C35">_xlfn.XLOOKUP($B35,'Brondata Groene KPI''s'!$D$7:$D$42,_xlfn.XLOOKUP('Berekeningen Groene KPI''s'!C$3,'Brondata Groene KPI''s'!$BA$6:$BF$6,'Brondata Groene KPI''s'!$BA$7:$BF$42))</f>
        <v>0.27402297850117502</v>
      </c>
      <c r="D35" s="150" cm="1">
        <f t="array" ref="D35">_xlfn.XLOOKUP($B35,'Brondata Groene KPI''s'!$D$7:$D$42,_xlfn.XLOOKUP('Berekeningen Groene KPI''s'!D$3,'Brondata Groene KPI''s'!$BA$6:$BF$6,'Brondata Groene KPI''s'!$BA$7:$BF$42))</f>
        <v>6.9856674500246616E-2</v>
      </c>
      <c r="E35" s="150" cm="1">
        <f t="array" ref="E35">_xlfn.XLOOKUP($B35,'Brondata Groene KPI''s'!$D$7:$D$42,_xlfn.XLOOKUP('Berekeningen Groene KPI''s'!E$3,'Brondata Groene KPI''s'!$BA$6:$BF$6,'Brondata Groene KPI''s'!$BA$7:$BF$42))</f>
        <v>9.2820669045753909E-2</v>
      </c>
      <c r="F35" s="150" cm="1">
        <f t="array" ref="F35">_xlfn.XLOOKUP($B35,'Brondata Groene KPI''s'!$D$7:$D$42,_xlfn.XLOOKUP('Berekeningen Groene KPI''s'!F$3,'Brondata Groene KPI''s'!$BA$6:$BF$6,'Brondata Groene KPI''s'!$BA$7:$BF$42))</f>
        <v>0.47563611570487713</v>
      </c>
      <c r="G35" s="150" cm="1">
        <f t="array" ref="G35">_xlfn.XLOOKUP($B35,'Brondata Groene KPI''s'!$D$7:$D$42,_xlfn.XLOOKUP('Berekeningen Groene KPI''s'!G$3,'Brondata Groene KPI''s'!$BA$6:$BF$6,'Brondata Groene KPI''s'!$BA$7:$BF$42))</f>
        <v>0</v>
      </c>
      <c r="H35" s="150" cm="1">
        <f t="array" ref="H35">_xlfn.XLOOKUP($B35,'Brondata Groene KPI''s'!$D$7:$D$42,_xlfn.XLOOKUP('Berekeningen Groene KPI''s'!H$3,'Brondata Groene KPI''s'!$BA$6:$BF$6,'Brondata Groene KPI''s'!$BA$7:$BF$42))</f>
        <v>8.7663562247947316E-2</v>
      </c>
    </row>
    <row r="36" spans="2:14">
      <c r="B36" s="165" t="s">
        <v>377</v>
      </c>
      <c r="C36" s="150" cm="1">
        <f t="array" ref="C36">_xlfn.XLOOKUP($B36,'Brondata Groene KPI''s'!$D$7:$D$42,_xlfn.XLOOKUP('Berekeningen Groene KPI''s'!C$3,'Brondata Groene KPI''s'!$BA$6:$BF$6,'Brondata Groene KPI''s'!$BA$7:$BF$42))</f>
        <v>1.207407407407407E-2</v>
      </c>
      <c r="D36" s="150" cm="1">
        <f t="array" ref="D36">_xlfn.XLOOKUP($B36,'Brondata Groene KPI''s'!$D$7:$D$42,_xlfn.XLOOKUP('Berekeningen Groene KPI''s'!D$3,'Brondata Groene KPI''s'!$BA$6:$BF$6,'Brondata Groene KPI''s'!$BA$7:$BF$42))</f>
        <v>0.10424338624338619</v>
      </c>
      <c r="E36" s="150" cm="1">
        <f t="array" ref="E36">_xlfn.XLOOKUP($B36,'Brondata Groene KPI''s'!$D$7:$D$42,_xlfn.XLOOKUP('Berekeningen Groene KPI''s'!E$3,'Brondata Groene KPI''s'!$BA$6:$BF$6,'Brondata Groene KPI''s'!$BA$7:$BF$42))</f>
        <v>0.1142222222222222</v>
      </c>
      <c r="F36" s="150" cm="1">
        <f t="array" ref="F36">_xlfn.XLOOKUP($B36,'Brondata Groene KPI''s'!$D$7:$D$42,_xlfn.XLOOKUP('Berekeningen Groene KPI''s'!F$3,'Brondata Groene KPI''s'!$BA$6:$BF$6,'Brondata Groene KPI''s'!$BA$7:$BF$42))</f>
        <v>0.51637037037037037</v>
      </c>
      <c r="G36" s="150" cm="1">
        <f t="array" ref="G36">_xlfn.XLOOKUP($B36,'Brondata Groene KPI''s'!$D$7:$D$42,_xlfn.XLOOKUP('Berekeningen Groene KPI''s'!G$3,'Brondata Groene KPI''s'!$BA$6:$BF$6,'Brondata Groene KPI''s'!$BA$7:$BF$42))</f>
        <v>0</v>
      </c>
      <c r="H36" s="150" cm="1">
        <f t="array" ref="H36">_xlfn.XLOOKUP($B36,'Brondata Groene KPI''s'!$D$7:$D$42,_xlfn.XLOOKUP('Berekeningen Groene KPI''s'!H$3,'Brondata Groene KPI''s'!$BA$6:$BF$6,'Brondata Groene KPI''s'!$BA$7:$BF$42))</f>
        <v>0.25308994708994709</v>
      </c>
    </row>
    <row r="37" spans="2:14">
      <c r="B37" s="165" t="s">
        <v>313</v>
      </c>
      <c r="C37" s="150" cm="1">
        <f t="array" ref="C37">_xlfn.XLOOKUP($B37,'Brondata Groene KPI''s'!$D$7:$D$42,_xlfn.XLOOKUP('Berekeningen Groene KPI''s'!C$3,'Brondata Groene KPI''s'!$BA$6:$BF$6,'Brondata Groene KPI''s'!$BA$7:$BF$42))</f>
        <v>6.3715052262270408E-2</v>
      </c>
      <c r="D37" s="150" cm="1">
        <f t="array" ref="D37">_xlfn.XLOOKUP($B37,'Brondata Groene KPI''s'!$D$7:$D$42,_xlfn.XLOOKUP('Berekeningen Groene KPI''s'!D$3,'Brondata Groene KPI''s'!$BA$6:$BF$6,'Brondata Groene KPI''s'!$BA$7:$BF$42))</f>
        <v>1.8212278295072409E-2</v>
      </c>
      <c r="E37" s="150" cm="1">
        <f t="array" ref="E37">_xlfn.XLOOKUP($B37,'Brondata Groene KPI''s'!$D$7:$D$42,_xlfn.XLOOKUP('Berekeningen Groene KPI''s'!E$3,'Brondata Groene KPI''s'!$BA$6:$BF$6,'Brondata Groene KPI''s'!$BA$7:$BF$42))</f>
        <v>7.3055491483860008E-2</v>
      </c>
      <c r="F37" s="150" cm="1">
        <f t="array" ref="F37">_xlfn.XLOOKUP($B37,'Brondata Groene KPI''s'!$D$7:$D$42,_xlfn.XLOOKUP('Berekeningen Groene KPI''s'!F$3,'Brondata Groene KPI''s'!$BA$6:$BF$6,'Brondata Groene KPI''s'!$BA$7:$BF$42))</f>
        <v>0.76049919269663602</v>
      </c>
      <c r="G37" s="150" cm="1">
        <f t="array" ref="G37">_xlfn.XLOOKUP($B37,'Brondata Groene KPI''s'!$D$7:$D$42,_xlfn.XLOOKUP('Berekeningen Groene KPI''s'!G$3,'Brondata Groene KPI''s'!$BA$6:$BF$6,'Brondata Groene KPI''s'!$BA$7:$BF$42))</f>
        <v>0</v>
      </c>
      <c r="H37" s="150" cm="1">
        <f t="array" ref="H37">_xlfn.XLOOKUP($B37,'Brondata Groene KPI''s'!$D$7:$D$42,_xlfn.XLOOKUP('Berekeningen Groene KPI''s'!H$3,'Brondata Groene KPI''s'!$BA$6:$BF$6,'Brondata Groene KPI''s'!$BA$7:$BF$42))</f>
        <v>8.4517985262161144E-2</v>
      </c>
    </row>
    <row r="38" spans="2:14">
      <c r="B38" s="165" t="s">
        <v>440</v>
      </c>
      <c r="C38" s="150" cm="1">
        <f t="array" ref="C38">_xlfn.XLOOKUP($B38,'Brondata Groene KPI''s'!$D$7:$D$42,_xlfn.XLOOKUP('Berekeningen Groene KPI''s'!C$3,'Brondata Groene KPI''s'!$BA$6:$BF$6,'Brondata Groene KPI''s'!$BA$7:$BF$42))</f>
        <v>0</v>
      </c>
      <c r="D38" s="150" cm="1">
        <f t="array" ref="D38">_xlfn.XLOOKUP($B38,'Brondata Groene KPI''s'!$D$7:$D$42,_xlfn.XLOOKUP('Berekeningen Groene KPI''s'!D$3,'Brondata Groene KPI''s'!$BA$6:$BF$6,'Brondata Groene KPI''s'!$BA$7:$BF$42))</f>
        <v>0.13285716385226989</v>
      </c>
      <c r="E38" s="150" cm="1">
        <f t="array" ref="E38">_xlfn.XLOOKUP($B38,'Brondata Groene KPI''s'!$D$7:$D$42,_xlfn.XLOOKUP('Berekeningen Groene KPI''s'!E$3,'Brondata Groene KPI''s'!$BA$6:$BF$6,'Brondata Groene KPI''s'!$BA$7:$BF$42))</f>
        <v>0.13929426979997939</v>
      </c>
      <c r="F38" s="150" cm="1">
        <f t="array" ref="F38">_xlfn.XLOOKUP($B38,'Brondata Groene KPI''s'!$D$7:$D$42,_xlfn.XLOOKUP('Berekeningen Groene KPI''s'!F$3,'Brondata Groene KPI''s'!$BA$6:$BF$6,'Brondata Groene KPI''s'!$BA$7:$BF$42))</f>
        <v>0.45627029966344812</v>
      </c>
      <c r="G38" s="150" cm="1">
        <f t="array" ref="G38">_xlfn.XLOOKUP($B38,'Brondata Groene KPI''s'!$D$7:$D$42,_xlfn.XLOOKUP('Berekeningen Groene KPI''s'!G$3,'Brondata Groene KPI''s'!$BA$6:$BF$6,'Brondata Groene KPI''s'!$BA$7:$BF$42))</f>
        <v>0</v>
      </c>
      <c r="H38" s="150" cm="1">
        <f t="array" ref="H38">_xlfn.XLOOKUP($B38,'Brondata Groene KPI''s'!$D$7:$D$42,_xlfn.XLOOKUP('Berekeningen Groene KPI''s'!H$3,'Brondata Groene KPI''s'!$BA$6:$BF$6,'Brondata Groene KPI''s'!$BA$7:$BF$42))</f>
        <v>0.27157826668430263</v>
      </c>
    </row>
    <row r="39" spans="2:14">
      <c r="B39" s="165" t="s">
        <v>474</v>
      </c>
      <c r="C39" s="150" cm="1">
        <f t="array" ref="C39">_xlfn.XLOOKUP($B39,'Brondata Groene KPI''s'!$D$7:$D$42,_xlfn.XLOOKUP('Berekeningen Groene KPI''s'!C$3,'Brondata Groene KPI''s'!$BA$6:$BF$6,'Brondata Groene KPI''s'!$BA$7:$BF$42))</f>
        <v>2.8287291825246599E-2</v>
      </c>
      <c r="D39" s="150" cm="1">
        <f t="array" ref="D39">_xlfn.XLOOKUP($B39,'Brondata Groene KPI''s'!$D$7:$D$42,_xlfn.XLOOKUP('Berekeningen Groene KPI''s'!D$3,'Brondata Groene KPI''s'!$BA$6:$BF$6,'Brondata Groene KPI''s'!$BA$7:$BF$42))</f>
        <v>1.337684878940361E-2</v>
      </c>
      <c r="E39" s="150" cm="1">
        <f t="array" ref="E39">_xlfn.XLOOKUP($B39,'Brondata Groene KPI''s'!$D$7:$D$42,_xlfn.XLOOKUP('Berekeningen Groene KPI''s'!E$3,'Brondata Groene KPI''s'!$BA$6:$BF$6,'Brondata Groene KPI''s'!$BA$7:$BF$42))</f>
        <v>0.51907225406918911</v>
      </c>
      <c r="F39" s="150" cm="1">
        <f t="array" ref="F39">_xlfn.XLOOKUP($B39,'Brondata Groene KPI''s'!$D$7:$D$42,_xlfn.XLOOKUP('Berekeningen Groene KPI''s'!F$3,'Brondata Groene KPI''s'!$BA$6:$BF$6,'Brondata Groene KPI''s'!$BA$7:$BF$42))</f>
        <v>0.35633275627078381</v>
      </c>
      <c r="G39" s="150" cm="1">
        <f t="array" ref="G39">_xlfn.XLOOKUP($B39,'Brondata Groene KPI''s'!$D$7:$D$42,_xlfn.XLOOKUP('Berekeningen Groene KPI''s'!G$3,'Brondata Groene KPI''s'!$BA$6:$BF$6,'Brondata Groene KPI''s'!$BA$7:$BF$42))</f>
        <v>0</v>
      </c>
      <c r="H39" s="150" cm="1">
        <f t="array" ref="H39">_xlfn.XLOOKUP($B39,'Brondata Groene KPI''s'!$D$7:$D$42,_xlfn.XLOOKUP('Berekeningen Groene KPI''s'!H$3,'Brondata Groene KPI''s'!$BA$6:$BF$6,'Brondata Groene KPI''s'!$BA$7:$BF$42))</f>
        <v>8.293084904537687E-2</v>
      </c>
    </row>
    <row r="40" spans="2:14">
      <c r="B40" s="165" t="s">
        <v>385</v>
      </c>
      <c r="C40" s="150" cm="1">
        <f t="array" ref="C40">_xlfn.XLOOKUP($B40,'Brondata Groene KPI''s'!$D$7:$D$42,_xlfn.XLOOKUP('Berekeningen Groene KPI''s'!C$3,'Brondata Groene KPI''s'!$BA$6:$BF$6,'Brondata Groene KPI''s'!$BA$7:$BF$42))</f>
        <v>0</v>
      </c>
      <c r="D40" s="150" cm="1">
        <f t="array" ref="D40">_xlfn.XLOOKUP($B40,'Brondata Groene KPI''s'!$D$7:$D$42,_xlfn.XLOOKUP('Berekeningen Groene KPI''s'!D$3,'Brondata Groene KPI''s'!$BA$6:$BF$6,'Brondata Groene KPI''s'!$BA$7:$BF$42))</f>
        <v>8.4280694501860279E-2</v>
      </c>
      <c r="E40" s="150" cm="1">
        <f t="array" ref="E40">_xlfn.XLOOKUP($B40,'Brondata Groene KPI''s'!$D$7:$D$42,_xlfn.XLOOKUP('Berekeningen Groene KPI''s'!E$3,'Brondata Groene KPI''s'!$BA$6:$BF$6,'Brondata Groene KPI''s'!$BA$7:$BF$42))</f>
        <v>9.9059528730880531E-2</v>
      </c>
      <c r="F40" s="150" cm="1">
        <f t="array" ref="F40">_xlfn.XLOOKUP($B40,'Brondata Groene KPI''s'!$D$7:$D$42,_xlfn.XLOOKUP('Berekeningen Groene KPI''s'!F$3,'Brondata Groene KPI''s'!$BA$6:$BF$6,'Brondata Groene KPI''s'!$BA$7:$BF$42))</f>
        <v>0.48165564282761469</v>
      </c>
      <c r="G40" s="150" cm="1">
        <f t="array" ref="G40">_xlfn.XLOOKUP($B40,'Brondata Groene KPI''s'!$D$7:$D$42,_xlfn.XLOOKUP('Berekeningen Groene KPI''s'!G$3,'Brondata Groene KPI''s'!$BA$6:$BF$6,'Brondata Groene KPI''s'!$BA$7:$BF$42))</f>
        <v>9.1980157089706482E-3</v>
      </c>
      <c r="H40" s="150" cm="1">
        <f t="array" ref="H40">_xlfn.XLOOKUP($B40,'Brondata Groene KPI''s'!$D$7:$D$42,_xlfn.XLOOKUP('Berekeningen Groene KPI''s'!H$3,'Brondata Groene KPI''s'!$BA$6:$BF$6,'Brondata Groene KPI''s'!$BA$7:$BF$42))</f>
        <v>0.32580611823067379</v>
      </c>
    </row>
    <row r="41" spans="2:14">
      <c r="B41" s="165" t="s">
        <v>286</v>
      </c>
      <c r="C41" s="150" cm="1">
        <f t="array" ref="C41">_xlfn.XLOOKUP($B41,'Brondata Groene KPI''s'!$D$7:$D$42,_xlfn.XLOOKUP('Berekeningen Groene KPI''s'!C$3,'Brondata Groene KPI''s'!$BA$6:$BF$6,'Brondata Groene KPI''s'!$BA$7:$BF$42))</f>
        <v>6.3751115644523784E-4</v>
      </c>
      <c r="D41" s="150" cm="1">
        <f t="array" ref="D41">_xlfn.XLOOKUP($B41,'Brondata Groene KPI''s'!$D$7:$D$42,_xlfn.XLOOKUP('Berekeningen Groene KPI''s'!D$3,'Brondata Groene KPI''s'!$BA$6:$BF$6,'Brondata Groene KPI''s'!$BA$7:$BF$42))</f>
        <v>0.1081473925793701</v>
      </c>
      <c r="E41" s="150" cm="1">
        <f t="array" ref="E41">_xlfn.XLOOKUP($B41,'Brondata Groene KPI''s'!$D$7:$D$42,_xlfn.XLOOKUP('Berekeningen Groene KPI''s'!E$3,'Brondata Groene KPI''s'!$BA$6:$BF$6,'Brondata Groene KPI''s'!$BA$7:$BF$42))</f>
        <v>0.1098474223298908</v>
      </c>
      <c r="F41" s="150" cm="1">
        <f t="array" ref="F41">_xlfn.XLOOKUP($B41,'Brondata Groene KPI''s'!$D$7:$D$42,_xlfn.XLOOKUP('Berekeningen Groene KPI''s'!F$3,'Brondata Groene KPI''s'!$BA$6:$BF$6,'Brondata Groene KPI''s'!$BA$7:$BF$42))</f>
        <v>0.60257554507203881</v>
      </c>
      <c r="G41" s="150" cm="1">
        <f t="array" ref="G41">_xlfn.XLOOKUP($B41,'Brondata Groene KPI''s'!$D$7:$D$42,_xlfn.XLOOKUP('Berekeningen Groene KPI''s'!G$3,'Brondata Groene KPI''s'!$BA$6:$BF$6,'Brondata Groene KPI''s'!$BA$7:$BF$42))</f>
        <v>0</v>
      </c>
      <c r="H41" s="150" cm="1">
        <f t="array" ref="H41">_xlfn.XLOOKUP($B41,'Brondata Groene KPI''s'!$D$7:$D$42,_xlfn.XLOOKUP('Berekeningen Groene KPI''s'!H$3,'Brondata Groene KPI''s'!$BA$6:$BF$6,'Brondata Groene KPI''s'!$BA$7:$BF$42))</f>
        <v>0.1787921288622551</v>
      </c>
    </row>
    <row r="46" spans="2:14" ht="21">
      <c r="B46" s="259" t="s">
        <v>612</v>
      </c>
      <c r="C46" s="259"/>
      <c r="D46" s="259"/>
      <c r="E46" s="259"/>
      <c r="F46" s="259"/>
      <c r="G46" s="259"/>
      <c r="H46" s="259"/>
    </row>
    <row r="48" spans="2:14">
      <c r="B48" s="19" t="s">
        <v>550</v>
      </c>
      <c r="C48" s="162">
        <v>2019</v>
      </c>
      <c r="D48" s="162">
        <v>2020</v>
      </c>
      <c r="E48" s="162">
        <v>2021</v>
      </c>
      <c r="F48" s="162">
        <v>2022</v>
      </c>
      <c r="G48" s="162">
        <v>2023</v>
      </c>
      <c r="H48" s="162">
        <v>2024</v>
      </c>
      <c r="I48" s="162">
        <v>2025</v>
      </c>
      <c r="J48" s="162">
        <v>2026</v>
      </c>
      <c r="K48" s="162">
        <v>2027</v>
      </c>
      <c r="L48" s="162">
        <v>2028</v>
      </c>
      <c r="M48" s="162">
        <v>2029</v>
      </c>
      <c r="N48" s="162">
        <v>2030</v>
      </c>
    </row>
    <row r="49" spans="2:14">
      <c r="B49" s="163" t="s">
        <v>592</v>
      </c>
      <c r="C49" s="164" cm="1">
        <f t="array" ref="C49">IFERROR(_xlfn.XLOOKUP('Berekeningen Groene KPI''s'!$B$49,'Brondata Groene KPI''s'!$B$51:$B$52,_xlfn.XLOOKUP('Berekeningen Groene KPI''s'!C$48,'Brondata Groene KPI''s'!$C$50:$N$50,'Brondata Groene KPI''s'!$C$51:$N$52)),NA())</f>
        <v>273</v>
      </c>
      <c r="D49" s="164" cm="1">
        <f t="array" ref="D49">IFERROR(_xlfn.XLOOKUP('Berekeningen Groene KPI''s'!$B$49,'Brondata Groene KPI''s'!$B$51:$B$52,_xlfn.XLOOKUP('Berekeningen Groene KPI''s'!D$48,'Brondata Groene KPI''s'!$C$50:$N$50,'Brondata Groene KPI''s'!$C$51:$N$52)),NA())</f>
        <v>335</v>
      </c>
      <c r="E49" s="164" cm="1">
        <f t="array" ref="E49">IFERROR(_xlfn.XLOOKUP('Berekeningen Groene KPI''s'!$B$49,'Brondata Groene KPI''s'!$B$51:$B$52,_xlfn.XLOOKUP('Berekeningen Groene KPI''s'!E$48,'Brondata Groene KPI''s'!$C$50:$N$50,'Brondata Groene KPI''s'!$C$51:$N$52)),NA())</f>
        <v>476</v>
      </c>
      <c r="F49" s="164" cm="1">
        <f t="array" ref="F49">IFERROR(_xlfn.XLOOKUP('Berekeningen Groene KPI''s'!$B$49,'Brondata Groene KPI''s'!$B$51:$B$52,_xlfn.XLOOKUP('Berekeningen Groene KPI''s'!F$48,'Brondata Groene KPI''s'!$C$50:$N$50,'Brondata Groene KPI''s'!$C$51:$N$52)),NA())</f>
        <v>448</v>
      </c>
      <c r="G49" s="164" cm="1">
        <f t="array" ref="G49">IFERROR(_xlfn.XLOOKUP('Berekeningen Groene KPI''s'!$B$49,'Brondata Groene KPI''s'!$B$51:$B$52,_xlfn.XLOOKUP('Berekeningen Groene KPI''s'!G$48,'Brondata Groene KPI''s'!$C$50:$N$50,'Brondata Groene KPI''s'!$C$51:$N$52)),NA())</f>
        <v>299</v>
      </c>
      <c r="H49" s="164" t="e" cm="1">
        <f t="array" ref="H49">IFERROR(_xlfn.XLOOKUP('Berekeningen Groene KPI''s'!$B$49,'Brondata Groene KPI''s'!$B$51:$B$52,_xlfn.XLOOKUP('Berekeningen Groene KPI''s'!H$48,'Brondata Groene KPI''s'!$C$50:$N$50,'Brondata Groene KPI''s'!$C$51:$N$52)),NA())</f>
        <v>#N/A</v>
      </c>
      <c r="I49" s="164" t="e" cm="1">
        <f t="array" ref="I49">IFERROR(_xlfn.XLOOKUP('Berekeningen Groene KPI''s'!$B$49,'Brondata Groene KPI''s'!$B$51:$B$52,_xlfn.XLOOKUP('Berekeningen Groene KPI''s'!I$48,'Brondata Groene KPI''s'!$C$50:$N$50,'Brondata Groene KPI''s'!$C$51:$N$52)),NA())</f>
        <v>#N/A</v>
      </c>
      <c r="J49" s="164" t="e" cm="1">
        <f t="array" ref="J49">IFERROR(_xlfn.XLOOKUP('Berekeningen Groene KPI''s'!$B$49,'Brondata Groene KPI''s'!$B$51:$B$52,_xlfn.XLOOKUP('Berekeningen Groene KPI''s'!J$48,'Brondata Groene KPI''s'!$C$50:$N$50,'Brondata Groene KPI''s'!$C$51:$N$52)),NA())</f>
        <v>#N/A</v>
      </c>
      <c r="K49" s="164" t="e" cm="1">
        <f t="array" ref="K49">IFERROR(_xlfn.XLOOKUP('Berekeningen Groene KPI''s'!$B$49,'Brondata Groene KPI''s'!$B$51:$B$52,_xlfn.XLOOKUP('Berekeningen Groene KPI''s'!K$48,'Brondata Groene KPI''s'!$C$50:$N$50,'Brondata Groene KPI''s'!$C$51:$N$52)),NA())</f>
        <v>#N/A</v>
      </c>
      <c r="L49" s="164" t="e" cm="1">
        <f t="array" ref="L49">IFERROR(_xlfn.XLOOKUP('Berekeningen Groene KPI''s'!$B$49,'Brondata Groene KPI''s'!$B$51:$B$52,_xlfn.XLOOKUP('Berekeningen Groene KPI''s'!L$48,'Brondata Groene KPI''s'!$C$50:$N$50,'Brondata Groene KPI''s'!$C$51:$N$52)),NA())</f>
        <v>#N/A</v>
      </c>
      <c r="M49" s="164" t="e" cm="1">
        <f t="array" ref="M49">IFERROR(_xlfn.XLOOKUP('Berekeningen Groene KPI''s'!$B$49,'Brondata Groene KPI''s'!$B$51:$B$52,_xlfn.XLOOKUP('Berekeningen Groene KPI''s'!M$48,'Brondata Groene KPI''s'!$C$50:$N$50,'Brondata Groene KPI''s'!$C$51:$N$52)),NA())</f>
        <v>#N/A</v>
      </c>
      <c r="N49" s="164" t="e" cm="1">
        <f t="array" ref="N49">IFERROR(_xlfn.XLOOKUP('Berekeningen Groene KPI''s'!$B$49,'Brondata Groene KPI''s'!$B$51:$B$52,_xlfn.XLOOKUP('Berekeningen Groene KPI''s'!N$48,'Brondata Groene KPI''s'!$C$50:$N$50,'Brondata Groene KPI''s'!$C$51:$N$52)),NA())</f>
        <v>#N/A</v>
      </c>
    </row>
    <row r="50" spans="2:14">
      <c r="B50" s="163" t="s">
        <v>593</v>
      </c>
      <c r="C50" s="164" cm="1">
        <f t="array" ref="C50">IFERROR(_xlfn.XLOOKUP('Berekeningen Groene KPI''s'!$B$50,'Brondata Groene KPI''s'!$B$51:$B$52,_xlfn.XLOOKUP('Berekeningen Groene KPI''s'!C$48,'Brondata Groene KPI''s'!$C$50:$N$50,'Brondata Groene KPI''s'!$C$51:$N$52)),NA())</f>
        <v>319</v>
      </c>
      <c r="D50" s="164" cm="1">
        <f t="array" ref="D50">IFERROR(_xlfn.XLOOKUP('Berekeningen Groene KPI''s'!$B$50,'Brondata Groene KPI''s'!$B$51:$B$52,_xlfn.XLOOKUP('Berekeningen Groene KPI''s'!D$48,'Brondata Groene KPI''s'!$C$50:$N$50,'Brondata Groene KPI''s'!$C$51:$N$52)),NA())</f>
        <v>211</v>
      </c>
      <c r="E50" s="164" cm="1">
        <f t="array" ref="E50">IFERROR(_xlfn.XLOOKUP('Berekeningen Groene KPI''s'!$B$50,'Brondata Groene KPI''s'!$B$51:$B$52,_xlfn.XLOOKUP('Berekeningen Groene KPI''s'!E$48,'Brondata Groene KPI''s'!$C$50:$N$50,'Brondata Groene KPI''s'!$C$51:$N$52)),NA())</f>
        <v>489</v>
      </c>
      <c r="F50" s="164" cm="1">
        <f t="array" ref="F50">IFERROR(_xlfn.XLOOKUP('Berekeningen Groene KPI''s'!$B$50,'Brondata Groene KPI''s'!$B$51:$B$52,_xlfn.XLOOKUP('Berekeningen Groene KPI''s'!F$48,'Brondata Groene KPI''s'!$C$50:$N$50,'Brondata Groene KPI''s'!$C$51:$N$52)),NA())</f>
        <v>587</v>
      </c>
      <c r="G50" s="164" cm="1">
        <f t="array" ref="G50">IFERROR(_xlfn.XLOOKUP('Berekeningen Groene KPI''s'!$B$50,'Brondata Groene KPI''s'!$B$51:$B$52,_xlfn.XLOOKUP('Berekeningen Groene KPI''s'!G$48,'Brondata Groene KPI''s'!$C$50:$N$50,'Brondata Groene KPI''s'!$C$51:$N$52)),NA())</f>
        <v>318</v>
      </c>
      <c r="H50" s="164" t="e" cm="1">
        <f t="array" ref="H50">IFERROR(_xlfn.XLOOKUP('Berekeningen Groene KPI''s'!$B$50,'Brondata Groene KPI''s'!$B$51:$B$52,_xlfn.XLOOKUP('Berekeningen Groene KPI''s'!H$48,'Brondata Groene KPI''s'!$C$50:$N$50,'Brondata Groene KPI''s'!$C$51:$N$52)),NA())</f>
        <v>#N/A</v>
      </c>
      <c r="I50" s="164" t="e" cm="1">
        <f t="array" ref="I50">IFERROR(_xlfn.XLOOKUP('Berekeningen Groene KPI''s'!$B$50,'Brondata Groene KPI''s'!$B$51:$B$52,_xlfn.XLOOKUP('Berekeningen Groene KPI''s'!I$48,'Brondata Groene KPI''s'!$C$50:$N$50,'Brondata Groene KPI''s'!$C$51:$N$52)),NA())</f>
        <v>#N/A</v>
      </c>
      <c r="J50" s="164" t="e" cm="1">
        <f t="array" ref="J50">IFERROR(_xlfn.XLOOKUP('Berekeningen Groene KPI''s'!$B$50,'Brondata Groene KPI''s'!$B$51:$B$52,_xlfn.XLOOKUP('Berekeningen Groene KPI''s'!J$48,'Brondata Groene KPI''s'!$C$50:$N$50,'Brondata Groene KPI''s'!$C$51:$N$52)),NA())</f>
        <v>#N/A</v>
      </c>
      <c r="K50" s="164" t="e" cm="1">
        <f t="array" ref="K50">IFERROR(_xlfn.XLOOKUP('Berekeningen Groene KPI''s'!$B$50,'Brondata Groene KPI''s'!$B$51:$B$52,_xlfn.XLOOKUP('Berekeningen Groene KPI''s'!K$48,'Brondata Groene KPI''s'!$C$50:$N$50,'Brondata Groene KPI''s'!$C$51:$N$52)),NA())</f>
        <v>#N/A</v>
      </c>
      <c r="L50" s="164" t="e" cm="1">
        <f t="array" ref="L50">IFERROR(_xlfn.XLOOKUP('Berekeningen Groene KPI''s'!$B$50,'Brondata Groene KPI''s'!$B$51:$B$52,_xlfn.XLOOKUP('Berekeningen Groene KPI''s'!L$48,'Brondata Groene KPI''s'!$C$50:$N$50,'Brondata Groene KPI''s'!$C$51:$N$52)),NA())</f>
        <v>#N/A</v>
      </c>
      <c r="M50" s="164" t="e" cm="1">
        <f t="array" ref="M50">IFERROR(_xlfn.XLOOKUP('Berekeningen Groene KPI''s'!$B$50,'Brondata Groene KPI''s'!$B$51:$B$52,_xlfn.XLOOKUP('Berekeningen Groene KPI''s'!M$48,'Brondata Groene KPI''s'!$C$50:$N$50,'Brondata Groene KPI''s'!$C$51:$N$52)),NA())</f>
        <v>#N/A</v>
      </c>
      <c r="N50" s="164" t="e" cm="1">
        <f t="array" ref="N50">IFERROR(_xlfn.XLOOKUP('Berekeningen Groene KPI''s'!$B$50,'Brondata Groene KPI''s'!$B$51:$B$52,_xlfn.XLOOKUP('Berekeningen Groene KPI''s'!N$48,'Brondata Groene KPI''s'!$C$50:$N$50,'Brondata Groene KPI''s'!$C$51:$N$52)),NA())</f>
        <v>#N/A</v>
      </c>
    </row>
    <row r="51" spans="2:14">
      <c r="B51" s="163" t="s">
        <v>551</v>
      </c>
      <c r="C51" s="164">
        <f>IF((C50-C49)=0,NA(),(C50-C49))</f>
        <v>46</v>
      </c>
      <c r="D51" s="164">
        <f t="shared" ref="D51:N51" si="0">IF((D50-D49)=0,NA(),(D50-D49))</f>
        <v>-124</v>
      </c>
      <c r="E51" s="164">
        <f t="shared" si="0"/>
        <v>13</v>
      </c>
      <c r="F51" s="164">
        <f t="shared" si="0"/>
        <v>139</v>
      </c>
      <c r="G51" s="164">
        <f t="shared" si="0"/>
        <v>19</v>
      </c>
      <c r="H51" s="164" t="e">
        <f t="shared" si="0"/>
        <v>#N/A</v>
      </c>
      <c r="I51" s="164" t="e">
        <f t="shared" si="0"/>
        <v>#N/A</v>
      </c>
      <c r="J51" s="164" t="e">
        <f t="shared" si="0"/>
        <v>#N/A</v>
      </c>
      <c r="K51" s="164" t="e">
        <f t="shared" si="0"/>
        <v>#N/A</v>
      </c>
      <c r="L51" s="164" t="e">
        <f t="shared" si="0"/>
        <v>#N/A</v>
      </c>
      <c r="M51" s="164" t="e">
        <f t="shared" si="0"/>
        <v>#N/A</v>
      </c>
      <c r="N51" s="164" t="e">
        <f t="shared" si="0"/>
        <v>#N/A</v>
      </c>
    </row>
    <row r="52" spans="2:14">
      <c r="B52" s="163" t="s">
        <v>594</v>
      </c>
      <c r="C52" s="164">
        <f>C50</f>
        <v>319</v>
      </c>
      <c r="D52" s="164">
        <f>C50+D50</f>
        <v>530</v>
      </c>
      <c r="E52" s="164">
        <f>IF((D52+E50)=0,NA(),(D52+E50))</f>
        <v>1019</v>
      </c>
      <c r="F52" s="164">
        <f t="shared" ref="F52:N52" si="1">IF((E52+F50)=0,NA(),(E52+F50))</f>
        <v>1606</v>
      </c>
      <c r="G52" s="164">
        <f t="shared" si="1"/>
        <v>1924</v>
      </c>
      <c r="H52" s="164" t="e">
        <f t="shared" si="1"/>
        <v>#N/A</v>
      </c>
      <c r="I52" s="164" t="e">
        <f t="shared" si="1"/>
        <v>#N/A</v>
      </c>
      <c r="J52" s="164" t="e">
        <f t="shared" si="1"/>
        <v>#N/A</v>
      </c>
      <c r="K52" s="164" t="e">
        <f t="shared" si="1"/>
        <v>#N/A</v>
      </c>
      <c r="L52" s="164" t="e">
        <f t="shared" si="1"/>
        <v>#N/A</v>
      </c>
      <c r="M52" s="164" t="e">
        <f t="shared" si="1"/>
        <v>#N/A</v>
      </c>
      <c r="N52" s="164" t="e">
        <f t="shared" si="1"/>
        <v>#N/A</v>
      </c>
    </row>
  </sheetData>
  <sheetProtection algorithmName="SHA-512" hashValue="BlZepLeKIz02FAGsOi/Frg2uvwLHGGoCtKJ7Op47YJqW48i/cRoJK9hEA7dPQkXo1UA7S+ReOv0LxKWMxcComQ==" saltValue="PP7z/H7gaKLfTZth/2sGzg==" spinCount="100000" sheet="1" objects="1" scenarios="1"/>
  <sortState xmlns:xlrd2="http://schemas.microsoft.com/office/spreadsheetml/2017/richdata2" ref="B4:H41">
    <sortCondition ref="B5:B41"/>
  </sortState>
  <mergeCells count="2">
    <mergeCell ref="B1:H1"/>
    <mergeCell ref="B46:H46"/>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D735-1742-FD40-84CB-51FF7CE79156}">
  <sheetPr codeName="Blad6"/>
  <dimension ref="A1:K48"/>
  <sheetViews>
    <sheetView workbookViewId="0">
      <selection activeCell="E16" sqref="E16"/>
    </sheetView>
  </sheetViews>
  <sheetFormatPr defaultColWidth="10.59765625" defaultRowHeight="15.6"/>
  <cols>
    <col min="2" max="2" width="28.8984375" bestFit="1" customWidth="1"/>
  </cols>
  <sheetData>
    <row r="1" spans="1:11" ht="18">
      <c r="B1" s="260" t="s">
        <v>604</v>
      </c>
      <c r="C1" s="260"/>
      <c r="D1" s="260"/>
      <c r="E1" s="260"/>
      <c r="F1" s="260"/>
      <c r="G1" s="260"/>
      <c r="H1" s="260"/>
      <c r="I1" s="260"/>
      <c r="J1" s="260"/>
      <c r="K1" s="260"/>
    </row>
    <row r="4" spans="1:11">
      <c r="B4" s="49" t="s">
        <v>207</v>
      </c>
    </row>
    <row r="5" spans="1:11">
      <c r="B5">
        <f>Monitor!W3</f>
        <v>2021</v>
      </c>
    </row>
    <row r="6" spans="1:11">
      <c r="B6" s="42">
        <f>_xlfn.XLOOKUP(Monitor!$W$3,Berekeningen!$C$4:$N$4, Berekeningen!$C$9:$N$9)</f>
        <v>170100</v>
      </c>
    </row>
    <row r="8" spans="1:11">
      <c r="B8" s="49" t="s">
        <v>154</v>
      </c>
    </row>
    <row r="9" spans="1:11">
      <c r="A9" s="160"/>
      <c r="B9" s="43">
        <f>IFERROR((Grafieken!$B$6-_xlfn.XLOOKUP(2019,Berekeningen!$C$4:$N$4, Berekeningen!$C$9:$N$9))/_xlfn.XLOOKUP(2019,Berekeningen!$C$4:$N$4, Berekeningen!$C$9:$N$9),"n.v.t.")</f>
        <v>-0.10989010989010989</v>
      </c>
    </row>
    <row r="12" spans="1:11">
      <c r="B12" s="49" t="s">
        <v>215</v>
      </c>
    </row>
    <row r="14" spans="1:11">
      <c r="B14" s="19" t="s">
        <v>159</v>
      </c>
    </row>
    <row r="15" spans="1:11">
      <c r="B15" t="s">
        <v>155</v>
      </c>
      <c r="C15" s="22">
        <f>Berekeningen!C9</f>
        <v>191100</v>
      </c>
      <c r="G15" s="22"/>
      <c r="I15" s="22"/>
    </row>
    <row r="16" spans="1:11">
      <c r="C16" s="22"/>
    </row>
    <row r="17" spans="2:9">
      <c r="C17" s="22"/>
    </row>
    <row r="18" spans="2:9">
      <c r="B18" t="s">
        <v>157</v>
      </c>
      <c r="C18" s="22">
        <f>C15*0.45</f>
        <v>85995</v>
      </c>
      <c r="G18" s="22"/>
      <c r="I18" s="22"/>
    </row>
    <row r="19" spans="2:9">
      <c r="B19" t="s">
        <v>156</v>
      </c>
      <c r="C19" s="17">
        <f>_xlfn.XLOOKUP(Monitor!$W$3,Berekeningen!$C$4:$N$4, Berekeningen!$C$9:$N$9)</f>
        <v>170100</v>
      </c>
      <c r="E19" s="22"/>
      <c r="G19" s="22"/>
    </row>
    <row r="20" spans="2:9">
      <c r="H20" s="22"/>
    </row>
    <row r="21" spans="2:9">
      <c r="B21" t="s">
        <v>208</v>
      </c>
      <c r="C21">
        <f>(($C$15-$C$19)/$C$15)*100</f>
        <v>10.989010989010989</v>
      </c>
      <c r="G21" s="22"/>
    </row>
    <row r="22" spans="2:9">
      <c r="I22" s="22"/>
    </row>
    <row r="24" spans="2:9">
      <c r="B24" s="19" t="s">
        <v>209</v>
      </c>
      <c r="C24">
        <f>C21</f>
        <v>10.989010989010989</v>
      </c>
    </row>
    <row r="25" spans="2:9">
      <c r="B25" s="19" t="s">
        <v>210</v>
      </c>
      <c r="C25">
        <f>55-C24</f>
        <v>44.010989010989007</v>
      </c>
      <c r="E25" s="225"/>
    </row>
    <row r="28" spans="2:9">
      <c r="B28" s="69" t="s">
        <v>216</v>
      </c>
    </row>
    <row r="29" spans="2:9">
      <c r="C29" s="70">
        <f>Monitor!W3</f>
        <v>2021</v>
      </c>
    </row>
    <row r="30" spans="2:9">
      <c r="B30" s="71" t="s">
        <v>127</v>
      </c>
      <c r="C30" s="72">
        <f>_xlfn.XLOOKUP(Monitor!W3,Berekeningen!$C$4:$N$4,Berekeningen!$C$5:$N$5)</f>
        <v>89000</v>
      </c>
    </row>
    <row r="31" spans="2:9">
      <c r="B31" s="71" t="s">
        <v>128</v>
      </c>
      <c r="C31" s="72">
        <f>_xlfn.XLOOKUP(Monitor!W3,Berekeningen!$C$4:$N$4,Berekeningen!$C$6:$N$6)</f>
        <v>43800</v>
      </c>
    </row>
    <row r="32" spans="2:9">
      <c r="B32" s="71" t="s">
        <v>126</v>
      </c>
      <c r="C32" s="72">
        <f>_xlfn.XLOOKUP(Monitor!W3,Berekeningen!$C$4:$N$4,Berekeningen!$C$7:$N$7)</f>
        <v>37300.000000000015</v>
      </c>
    </row>
    <row r="36" spans="2:8">
      <c r="B36" s="49" t="s">
        <v>133</v>
      </c>
    </row>
    <row r="37" spans="2:8">
      <c r="B37" s="80" t="s">
        <v>529</v>
      </c>
      <c r="C37" s="81" t="s">
        <v>530</v>
      </c>
      <c r="D37" s="81" t="s">
        <v>531</v>
      </c>
      <c r="E37" s="81" t="s">
        <v>532</v>
      </c>
      <c r="F37" s="81" t="s">
        <v>533</v>
      </c>
      <c r="G37" s="81" t="s">
        <v>534</v>
      </c>
      <c r="H37" s="81" t="s">
        <v>535</v>
      </c>
    </row>
    <row r="38" spans="2:8">
      <c r="B38" s="82" t="str">
        <f>Monitor!$S$76</f>
        <v>Beverwijk</v>
      </c>
      <c r="C38" s="80">
        <f>_xlfn.XLOOKUP($B$38,Buurten,'Berekeningen Groene KPI''s'!C5:C40)</f>
        <v>0</v>
      </c>
      <c r="D38" s="80">
        <f>_xlfn.XLOOKUP($B$38,Buurten,'Berekeningen Groene KPI''s'!D5:D40)</f>
        <v>8.1500000000000003E-2</v>
      </c>
      <c r="E38" s="80">
        <f>_xlfn.XLOOKUP($B$38,Buurten,'Berekeningen Groene KPI''s'!E5:E40)</f>
        <v>0.114</v>
      </c>
      <c r="F38" s="80">
        <f>_xlfn.XLOOKUP($B$38,Buurten,'Berekeningen Groene KPI''s'!F5:F40)</f>
        <v>0.53900000000000003</v>
      </c>
      <c r="G38" s="80">
        <f>_xlfn.XLOOKUP($B$38,Buurten,'Berekeningen Groene KPI''s'!G5:G40)</f>
        <v>0</v>
      </c>
      <c r="H38" s="80">
        <f>_xlfn.XLOOKUP($B$38,Buurten,'Berekeningen Groene KPI''s'!H5:H40)</f>
        <v>2.1000000000000001E-2</v>
      </c>
    </row>
    <row r="41" spans="2:8">
      <c r="B41" s="49" t="s">
        <v>537</v>
      </c>
    </row>
    <row r="42" spans="2:8">
      <c r="C42" s="84">
        <f>Monitor!W3</f>
        <v>2021</v>
      </c>
    </row>
    <row r="43" spans="2:8">
      <c r="B43" s="84" t="s">
        <v>537</v>
      </c>
      <c r="C43" s="4">
        <f>_xlfn.XLOOKUP(Monitor!W3,Berekeningen!$C$68:$N$68,Berekeningen!$C$69:$N$69)</f>
        <v>39</v>
      </c>
    </row>
    <row r="46" spans="2:8">
      <c r="B46" s="49" t="s">
        <v>541</v>
      </c>
    </row>
    <row r="47" spans="2:8">
      <c r="C47" s="84">
        <f>Monitor!W3</f>
        <v>2021</v>
      </c>
    </row>
    <row r="48" spans="2:8">
      <c r="B48" s="84" t="s">
        <v>541</v>
      </c>
      <c r="C48" s="83">
        <f>_xlfn.XLOOKUP(Monitor!W3,Berekeningen!$C$91:$N$91,Berekeningen!$C$96:$N$96)</f>
        <v>137</v>
      </c>
    </row>
  </sheetData>
  <mergeCells count="1">
    <mergeCell ref="B1:K1"/>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1C5E-D341-1F4A-97B1-170BD124CF06}">
  <sheetPr codeName="Blad7">
    <tabColor theme="9" tint="0.59999389629810485"/>
  </sheetPr>
  <dimension ref="B1:M138"/>
  <sheetViews>
    <sheetView workbookViewId="0">
      <selection activeCell="M35" sqref="M35:M36"/>
    </sheetView>
  </sheetViews>
  <sheetFormatPr defaultColWidth="10.59765625" defaultRowHeight="15.6"/>
  <cols>
    <col min="2" max="2" width="85.3984375" bestFit="1" customWidth="1"/>
    <col min="12" max="12" width="68.3984375" customWidth="1"/>
    <col min="13" max="13" width="13" bestFit="1" customWidth="1"/>
  </cols>
  <sheetData>
    <row r="1" spans="2:12" ht="21">
      <c r="B1" s="261" t="s">
        <v>106</v>
      </c>
      <c r="C1" s="261"/>
      <c r="D1" s="261"/>
      <c r="E1" s="261"/>
      <c r="F1" s="261"/>
      <c r="G1" s="261"/>
      <c r="H1" s="261"/>
      <c r="I1" s="261"/>
      <c r="J1" s="261"/>
    </row>
    <row r="2" spans="2:12">
      <c r="L2" s="13" t="s">
        <v>643</v>
      </c>
    </row>
    <row r="3" spans="2:12">
      <c r="B3" s="27" t="s">
        <v>88</v>
      </c>
      <c r="C3" s="28"/>
      <c r="D3" s="28"/>
      <c r="E3" s="28"/>
      <c r="F3" s="28"/>
      <c r="G3" s="28"/>
      <c r="H3" s="28"/>
      <c r="I3" s="28"/>
      <c r="J3" s="28"/>
      <c r="L3" s="15" t="s">
        <v>642</v>
      </c>
    </row>
    <row r="4" spans="2:12">
      <c r="B4" t="s">
        <v>89</v>
      </c>
      <c r="L4" s="178" t="s">
        <v>641</v>
      </c>
    </row>
    <row r="5" spans="2:12">
      <c r="B5" s="16" t="s">
        <v>662</v>
      </c>
      <c r="L5" s="216" t="s">
        <v>664</v>
      </c>
    </row>
    <row r="6" spans="2:12">
      <c r="L6" s="218" t="s">
        <v>669</v>
      </c>
    </row>
    <row r="7" spans="2:12">
      <c r="B7" s="3" t="s">
        <v>0</v>
      </c>
      <c r="L7" s="18"/>
    </row>
    <row r="8" spans="2:12">
      <c r="B8" s="3" t="s">
        <v>1</v>
      </c>
      <c r="C8" s="3">
        <v>2019</v>
      </c>
      <c r="D8" s="3">
        <v>2020</v>
      </c>
      <c r="E8" s="3">
        <v>2021</v>
      </c>
      <c r="F8" s="3">
        <v>2022</v>
      </c>
      <c r="G8" s="3">
        <v>2023</v>
      </c>
    </row>
    <row r="9" spans="2:12">
      <c r="B9" s="3" t="s">
        <v>2</v>
      </c>
      <c r="C9" s="4">
        <v>191</v>
      </c>
      <c r="D9" s="4">
        <v>168</v>
      </c>
      <c r="E9" s="4">
        <v>170</v>
      </c>
      <c r="F9" s="164">
        <v>160</v>
      </c>
      <c r="G9" s="4">
        <v>145</v>
      </c>
    </row>
    <row r="10" spans="2:12">
      <c r="B10" s="3" t="s">
        <v>4</v>
      </c>
      <c r="C10" s="4">
        <v>100.9</v>
      </c>
      <c r="D10" s="4">
        <v>89.1</v>
      </c>
      <c r="E10" s="4">
        <v>88.7</v>
      </c>
      <c r="F10" s="4">
        <v>77.8</v>
      </c>
      <c r="G10" s="4">
        <v>65.400000000000006</v>
      </c>
    </row>
    <row r="11" spans="2:12">
      <c r="B11" s="3" t="s">
        <v>6</v>
      </c>
      <c r="C11" s="4">
        <v>51.5</v>
      </c>
      <c r="D11" s="4">
        <v>42.9</v>
      </c>
      <c r="E11" s="4">
        <v>43.6</v>
      </c>
      <c r="F11" s="4">
        <v>44.9</v>
      </c>
      <c r="G11" s="4">
        <v>45.4</v>
      </c>
    </row>
    <row r="12" spans="2:12">
      <c r="B12" s="3" t="s">
        <v>134</v>
      </c>
      <c r="C12" s="146">
        <f>C9-(C10+C11+C13+C14)</f>
        <v>38.300000000000011</v>
      </c>
      <c r="D12" s="146">
        <f t="shared" ref="D12:F12" si="0">D9-(D10+D11+D13+D14)</f>
        <v>35.700000000000017</v>
      </c>
      <c r="E12" s="146">
        <f t="shared" si="0"/>
        <v>37.300000000000011</v>
      </c>
      <c r="F12" s="146">
        <f t="shared" si="0"/>
        <v>36.800000000000011</v>
      </c>
      <c r="G12" s="146">
        <f>G9-(G10+G11+G13+G14)</f>
        <v>33.499999999999986</v>
      </c>
    </row>
    <row r="13" spans="2:12">
      <c r="B13" s="3" t="s">
        <v>7</v>
      </c>
      <c r="C13" s="14">
        <f>D13</f>
        <v>0.2</v>
      </c>
      <c r="D13" s="14">
        <f>E13</f>
        <v>0.2</v>
      </c>
      <c r="E13" s="4">
        <v>0.2</v>
      </c>
      <c r="F13" s="4">
        <v>0.2</v>
      </c>
      <c r="G13" s="4">
        <v>0.2</v>
      </c>
    </row>
    <row r="14" spans="2:12">
      <c r="B14" s="3" t="s">
        <v>5</v>
      </c>
      <c r="C14" s="4">
        <v>0.1</v>
      </c>
      <c r="D14" s="4">
        <v>0.1</v>
      </c>
      <c r="E14" s="4">
        <v>0.2</v>
      </c>
      <c r="F14" s="4">
        <v>0.3</v>
      </c>
      <c r="G14" s="4">
        <v>0.5</v>
      </c>
    </row>
    <row r="16" spans="2:12">
      <c r="B16" s="4" t="s">
        <v>8</v>
      </c>
      <c r="C16" s="4" t="s">
        <v>9</v>
      </c>
    </row>
    <row r="17" spans="2:10">
      <c r="B17" s="4" t="s">
        <v>10</v>
      </c>
      <c r="C17" s="4" t="s">
        <v>11</v>
      </c>
    </row>
    <row r="18" spans="2:10">
      <c r="B18" s="4" t="s">
        <v>12</v>
      </c>
      <c r="C18" s="4" t="s">
        <v>13</v>
      </c>
    </row>
    <row r="19" spans="2:10">
      <c r="B19" s="3" t="s">
        <v>1</v>
      </c>
      <c r="C19" s="4" t="s">
        <v>16</v>
      </c>
    </row>
    <row r="20" spans="2:10">
      <c r="B20" s="3" t="s">
        <v>1</v>
      </c>
      <c r="C20" s="4" t="s">
        <v>15</v>
      </c>
    </row>
    <row r="22" spans="2:10">
      <c r="B22" s="4" t="s">
        <v>17</v>
      </c>
    </row>
    <row r="24" spans="2:10">
      <c r="B24" s="4" t="s">
        <v>18</v>
      </c>
      <c r="C24" s="4" t="s">
        <v>663</v>
      </c>
    </row>
    <row r="27" spans="2:10">
      <c r="B27" s="27" t="s">
        <v>91</v>
      </c>
      <c r="C27" s="28"/>
      <c r="D27" s="28"/>
      <c r="E27" s="28"/>
      <c r="F27" s="28"/>
      <c r="G27" s="28"/>
      <c r="H27" s="28"/>
      <c r="I27" s="28"/>
      <c r="J27" s="28"/>
    </row>
    <row r="28" spans="2:10">
      <c r="B28" t="s">
        <v>89</v>
      </c>
    </row>
    <row r="29" spans="2:10">
      <c r="B29" s="16" t="s">
        <v>665</v>
      </c>
    </row>
    <row r="31" spans="2:10">
      <c r="B31" s="3" t="s">
        <v>0</v>
      </c>
    </row>
    <row r="32" spans="2:10">
      <c r="B32" s="3" t="s">
        <v>1</v>
      </c>
      <c r="C32" s="3">
        <v>2019</v>
      </c>
      <c r="D32" s="3">
        <v>2020</v>
      </c>
      <c r="E32" s="3">
        <v>2021</v>
      </c>
      <c r="F32" s="3">
        <v>2022</v>
      </c>
      <c r="G32" s="3">
        <v>2023</v>
      </c>
    </row>
    <row r="33" spans="2:13">
      <c r="B33" s="3" t="s">
        <v>134</v>
      </c>
      <c r="C33" s="4" t="s">
        <v>3</v>
      </c>
      <c r="D33" s="4" t="s">
        <v>3</v>
      </c>
      <c r="E33" s="4" t="s">
        <v>3</v>
      </c>
      <c r="F33" s="4" t="s">
        <v>3</v>
      </c>
      <c r="G33" s="4" t="s">
        <v>3</v>
      </c>
    </row>
    <row r="34" spans="2:13">
      <c r="B34" s="3" t="s">
        <v>135</v>
      </c>
      <c r="C34" s="4" t="s">
        <v>3</v>
      </c>
      <c r="D34" s="4" t="s">
        <v>3</v>
      </c>
      <c r="E34" s="4" t="s">
        <v>3</v>
      </c>
      <c r="F34" s="4" t="s">
        <v>3</v>
      </c>
      <c r="G34" s="4" t="s">
        <v>3</v>
      </c>
    </row>
    <row r="35" spans="2:13">
      <c r="B35" s="3" t="s">
        <v>136</v>
      </c>
      <c r="C35" s="4" t="s">
        <v>3</v>
      </c>
      <c r="D35" s="4" t="s">
        <v>3</v>
      </c>
      <c r="E35" s="4" t="s">
        <v>3</v>
      </c>
      <c r="F35" s="4" t="s">
        <v>3</v>
      </c>
      <c r="G35" s="4">
        <v>3.8</v>
      </c>
    </row>
    <row r="36" spans="2:13">
      <c r="B36" s="3" t="s">
        <v>137</v>
      </c>
      <c r="C36" s="4" t="s">
        <v>3</v>
      </c>
      <c r="D36" s="4" t="s">
        <v>3</v>
      </c>
      <c r="E36" s="4" t="s">
        <v>3</v>
      </c>
      <c r="F36" s="4" t="s">
        <v>3</v>
      </c>
      <c r="G36" s="4" t="s">
        <v>3</v>
      </c>
      <c r="M36" s="233"/>
    </row>
    <row r="37" spans="2:13">
      <c r="B37" s="3" t="s">
        <v>138</v>
      </c>
      <c r="C37" s="4" t="s">
        <v>3</v>
      </c>
      <c r="D37" s="4">
        <v>6.48</v>
      </c>
      <c r="E37" s="4" t="s">
        <v>3</v>
      </c>
      <c r="F37" s="4" t="s">
        <v>3</v>
      </c>
      <c r="G37" s="4" t="s">
        <v>3</v>
      </c>
    </row>
    <row r="38" spans="2:13">
      <c r="B38" s="3" t="s">
        <v>139</v>
      </c>
      <c r="C38" s="4">
        <v>0.17</v>
      </c>
      <c r="D38" s="4">
        <v>0.15</v>
      </c>
      <c r="E38" s="14">
        <f>AVERAGE(D38,F38)</f>
        <v>0.19</v>
      </c>
      <c r="F38" s="4">
        <v>0.23</v>
      </c>
      <c r="G38" s="4">
        <v>0.28000000000000003</v>
      </c>
    </row>
    <row r="39" spans="2:13">
      <c r="B39" s="3" t="s">
        <v>140</v>
      </c>
      <c r="C39" s="4" t="s">
        <v>3</v>
      </c>
      <c r="D39" s="4" t="s">
        <v>3</v>
      </c>
      <c r="E39" s="4" t="s">
        <v>3</v>
      </c>
      <c r="F39" s="4" t="s">
        <v>3</v>
      </c>
      <c r="G39" s="4" t="s">
        <v>3</v>
      </c>
    </row>
    <row r="40" spans="2:13">
      <c r="B40" s="3" t="s">
        <v>141</v>
      </c>
      <c r="C40" s="4">
        <v>1.1200000000000001</v>
      </c>
      <c r="D40" s="4">
        <v>0.94</v>
      </c>
      <c r="E40" s="4">
        <v>1.01</v>
      </c>
      <c r="F40" s="4">
        <v>0.94</v>
      </c>
      <c r="G40" s="4">
        <v>0.79</v>
      </c>
    </row>
    <row r="41" spans="2:13">
      <c r="B41" s="3" t="s">
        <v>142</v>
      </c>
      <c r="C41" s="4" t="s">
        <v>3</v>
      </c>
      <c r="D41" s="4" t="s">
        <v>3</v>
      </c>
      <c r="E41" s="4" t="s">
        <v>3</v>
      </c>
      <c r="F41" s="4" t="s">
        <v>3</v>
      </c>
      <c r="G41" s="4" t="s">
        <v>3</v>
      </c>
    </row>
    <row r="42" spans="2:13">
      <c r="B42" s="3" t="s">
        <v>143</v>
      </c>
      <c r="C42" s="4">
        <v>2.54</v>
      </c>
      <c r="D42" s="4">
        <v>2.46</v>
      </c>
      <c r="E42" s="4">
        <v>2.6</v>
      </c>
      <c r="F42" s="164">
        <v>2.25</v>
      </c>
      <c r="G42" s="4" t="s">
        <v>3</v>
      </c>
    </row>
    <row r="43" spans="2:13">
      <c r="B43" s="3" t="s">
        <v>144</v>
      </c>
      <c r="C43" s="4" t="s">
        <v>3</v>
      </c>
      <c r="D43" s="4" t="s">
        <v>3</v>
      </c>
      <c r="E43" s="4" t="s">
        <v>3</v>
      </c>
      <c r="F43" s="4" t="s">
        <v>3</v>
      </c>
      <c r="G43" s="4" t="s">
        <v>3</v>
      </c>
    </row>
    <row r="44" spans="2:13">
      <c r="B44" s="3" t="s">
        <v>145</v>
      </c>
      <c r="C44" s="4">
        <v>0.45</v>
      </c>
      <c r="D44" s="4">
        <v>0.38</v>
      </c>
      <c r="E44" s="4">
        <v>0.44</v>
      </c>
      <c r="F44" s="4">
        <v>0.35</v>
      </c>
      <c r="G44" s="4">
        <v>0.34</v>
      </c>
    </row>
    <row r="45" spans="2:13">
      <c r="B45" s="3" t="s">
        <v>146</v>
      </c>
      <c r="C45" s="4" t="s">
        <v>3</v>
      </c>
      <c r="D45" s="4" t="s">
        <v>3</v>
      </c>
      <c r="E45" s="4" t="s">
        <v>3</v>
      </c>
      <c r="F45" s="4" t="s">
        <v>3</v>
      </c>
      <c r="G45" s="4" t="s">
        <v>3</v>
      </c>
    </row>
    <row r="46" spans="2:13">
      <c r="B46" s="3" t="s">
        <v>147</v>
      </c>
      <c r="C46" s="14">
        <f>D46</f>
        <v>4.0199999999999996</v>
      </c>
      <c r="D46" s="4">
        <v>4.0199999999999996</v>
      </c>
      <c r="E46" s="21">
        <f>AVERAGE(D46,F46)</f>
        <v>3.5249999999999995</v>
      </c>
      <c r="F46" s="4">
        <v>3.03</v>
      </c>
      <c r="G46" s="4">
        <v>2.4300000000000002</v>
      </c>
    </row>
    <row r="47" spans="2:13">
      <c r="B47" s="3" t="s">
        <v>148</v>
      </c>
      <c r="C47" s="4">
        <v>0.17</v>
      </c>
      <c r="D47" s="4">
        <v>0.15</v>
      </c>
      <c r="E47" s="14">
        <f>AVERAGE(D47,F47)</f>
        <v>0.19</v>
      </c>
      <c r="F47" s="4">
        <v>0.23</v>
      </c>
      <c r="G47" s="4">
        <v>0.28000000000000003</v>
      </c>
    </row>
    <row r="48" spans="2:13">
      <c r="B48" s="3" t="s">
        <v>149</v>
      </c>
      <c r="C48" s="14">
        <f>D48</f>
        <v>1.02</v>
      </c>
      <c r="D48" s="4">
        <v>1.02</v>
      </c>
      <c r="E48" s="4">
        <v>1.1000000000000001</v>
      </c>
      <c r="F48" s="4">
        <v>0.87</v>
      </c>
      <c r="G48" s="4">
        <v>0.59</v>
      </c>
    </row>
    <row r="49" spans="2:10">
      <c r="B49" s="3" t="s">
        <v>150</v>
      </c>
      <c r="C49" s="4">
        <v>0.67</v>
      </c>
      <c r="D49" s="4">
        <v>0.56000000000000005</v>
      </c>
      <c r="E49" s="4">
        <v>0.56999999999999995</v>
      </c>
      <c r="F49" s="4">
        <v>0.57999999999999996</v>
      </c>
      <c r="G49" s="4">
        <v>0.46</v>
      </c>
    </row>
    <row r="51" spans="2:10">
      <c r="B51" s="4" t="s">
        <v>8</v>
      </c>
      <c r="C51" s="4" t="s">
        <v>9</v>
      </c>
    </row>
    <row r="52" spans="2:10">
      <c r="B52" s="4" t="s">
        <v>10</v>
      </c>
      <c r="C52" s="4" t="s">
        <v>11</v>
      </c>
    </row>
    <row r="53" spans="2:10">
      <c r="B53" s="4" t="s">
        <v>12</v>
      </c>
      <c r="C53" s="4" t="s">
        <v>13</v>
      </c>
    </row>
    <row r="55" spans="2:10">
      <c r="B55" s="4" t="s">
        <v>17</v>
      </c>
    </row>
    <row r="57" spans="2:10">
      <c r="B57" s="4" t="s">
        <v>18</v>
      </c>
      <c r="C57" s="4" t="s">
        <v>663</v>
      </c>
    </row>
    <row r="60" spans="2:10">
      <c r="B60" s="27" t="s">
        <v>92</v>
      </c>
      <c r="C60" s="28"/>
      <c r="D60" s="28"/>
      <c r="E60" s="28"/>
      <c r="F60" s="29"/>
      <c r="G60" s="29"/>
      <c r="H60" s="29"/>
      <c r="I60" s="29"/>
      <c r="J60" s="29"/>
    </row>
    <row r="61" spans="2:10">
      <c r="B61" t="s">
        <v>89</v>
      </c>
    </row>
    <row r="62" spans="2:10">
      <c r="B62" s="16" t="s">
        <v>666</v>
      </c>
    </row>
    <row r="63" spans="2:10">
      <c r="B63" s="3" t="s">
        <v>19</v>
      </c>
    </row>
    <row r="64" spans="2:10">
      <c r="B64" s="3" t="s">
        <v>1</v>
      </c>
      <c r="C64" s="3">
        <v>2019</v>
      </c>
      <c r="D64" s="3">
        <v>2020</v>
      </c>
      <c r="E64" s="3">
        <v>2021</v>
      </c>
      <c r="F64" s="3">
        <v>2022</v>
      </c>
      <c r="G64" s="3">
        <v>2023</v>
      </c>
    </row>
    <row r="65" spans="2:7">
      <c r="B65" s="3" t="s">
        <v>93</v>
      </c>
      <c r="C65" s="4">
        <v>100.9</v>
      </c>
      <c r="D65" s="4">
        <v>89.1</v>
      </c>
      <c r="E65" s="4">
        <v>88.7</v>
      </c>
      <c r="F65" s="93">
        <v>77.8</v>
      </c>
      <c r="G65" s="4">
        <v>65.400000000000006</v>
      </c>
    </row>
    <row r="66" spans="2:7">
      <c r="B66" s="3" t="s">
        <v>94</v>
      </c>
      <c r="C66" s="4">
        <v>57.7</v>
      </c>
      <c r="D66" s="4">
        <v>53.7</v>
      </c>
      <c r="E66" s="4">
        <v>54.6</v>
      </c>
      <c r="F66" s="4">
        <v>47.7</v>
      </c>
      <c r="G66" s="4">
        <v>39.799999999999997</v>
      </c>
    </row>
    <row r="67" spans="2:7">
      <c r="B67" s="3" t="s">
        <v>95</v>
      </c>
      <c r="C67" s="4">
        <v>26.5</v>
      </c>
      <c r="D67" s="4">
        <v>20.7</v>
      </c>
      <c r="E67" s="4">
        <v>20.9</v>
      </c>
      <c r="F67" s="93">
        <v>19.2</v>
      </c>
      <c r="G67" s="4">
        <v>16.600000000000001</v>
      </c>
    </row>
    <row r="68" spans="2:7">
      <c r="B68" s="3" t="s">
        <v>96</v>
      </c>
      <c r="C68" s="4">
        <v>16.899999999999999</v>
      </c>
      <c r="D68" s="217">
        <f>D65-(D66+D67+D69)</f>
        <v>14.599999999999994</v>
      </c>
      <c r="E68" s="4">
        <v>13.3</v>
      </c>
      <c r="F68" s="93">
        <v>11.2</v>
      </c>
      <c r="G68" s="4">
        <v>9.6</v>
      </c>
    </row>
    <row r="69" spans="2:7">
      <c r="B69" s="3" t="s">
        <v>97</v>
      </c>
      <c r="C69" s="4">
        <v>0.1</v>
      </c>
      <c r="D69" s="4">
        <v>0.1</v>
      </c>
      <c r="E69" s="4">
        <v>0.2</v>
      </c>
      <c r="F69" s="4">
        <v>0.3</v>
      </c>
      <c r="G69" s="4">
        <v>0.5</v>
      </c>
    </row>
    <row r="70" spans="2:7">
      <c r="B70" s="3" t="s">
        <v>29</v>
      </c>
      <c r="C70" s="4">
        <v>14.54</v>
      </c>
      <c r="D70" s="4">
        <v>11.37</v>
      </c>
      <c r="E70" s="4">
        <v>11.94</v>
      </c>
      <c r="F70" s="164">
        <v>10.24</v>
      </c>
      <c r="G70" s="4">
        <v>8.5299999999999994</v>
      </c>
    </row>
    <row r="71" spans="2:7">
      <c r="B71" s="3" t="s">
        <v>30</v>
      </c>
      <c r="C71" s="4">
        <v>2.1</v>
      </c>
      <c r="D71" s="4" t="s">
        <v>3</v>
      </c>
      <c r="E71" s="4">
        <v>1.7</v>
      </c>
      <c r="F71" s="93">
        <v>1.19</v>
      </c>
      <c r="G71" s="4" t="s">
        <v>3</v>
      </c>
    </row>
    <row r="72" spans="2:7">
      <c r="B72" s="3" t="s">
        <v>31</v>
      </c>
      <c r="C72" s="4">
        <v>4.3099999999999996</v>
      </c>
      <c r="D72" s="4">
        <v>3.48</v>
      </c>
      <c r="E72" s="4">
        <v>3.7</v>
      </c>
      <c r="F72" s="93">
        <v>3.45</v>
      </c>
      <c r="G72" s="4">
        <v>2.83</v>
      </c>
    </row>
    <row r="73" spans="2:7">
      <c r="B73" s="3" t="s">
        <v>32</v>
      </c>
      <c r="C73" s="4">
        <v>0.8</v>
      </c>
      <c r="D73" s="4">
        <v>0.62</v>
      </c>
      <c r="E73" s="4">
        <v>0.59</v>
      </c>
      <c r="F73" s="4">
        <v>0.54</v>
      </c>
      <c r="G73" s="4">
        <v>0.45</v>
      </c>
    </row>
    <row r="74" spans="2:7">
      <c r="B74" s="3" t="s">
        <v>33</v>
      </c>
      <c r="C74" s="4">
        <v>1.0900000000000001</v>
      </c>
      <c r="D74" s="4">
        <v>0.75</v>
      </c>
      <c r="E74" s="4">
        <v>0.96</v>
      </c>
      <c r="F74" s="4">
        <v>0.81</v>
      </c>
      <c r="G74" s="4">
        <v>0.56000000000000005</v>
      </c>
    </row>
    <row r="75" spans="2:7">
      <c r="B75" s="3" t="s">
        <v>34</v>
      </c>
      <c r="C75" s="4" t="s">
        <v>3</v>
      </c>
      <c r="D75" s="4">
        <v>1.31</v>
      </c>
      <c r="E75" s="4" t="s">
        <v>3</v>
      </c>
      <c r="F75" s="4" t="s">
        <v>3</v>
      </c>
      <c r="G75" s="4" t="s">
        <v>3</v>
      </c>
    </row>
    <row r="76" spans="2:7">
      <c r="B76" s="3" t="s">
        <v>35</v>
      </c>
      <c r="C76" s="4">
        <v>0.83</v>
      </c>
      <c r="D76" s="4">
        <v>0.57999999999999996</v>
      </c>
      <c r="E76" s="4">
        <v>0.65</v>
      </c>
      <c r="F76" s="4">
        <v>0.59</v>
      </c>
      <c r="G76" s="4">
        <v>0.52</v>
      </c>
    </row>
    <row r="77" spans="2:7">
      <c r="B77" s="3" t="s">
        <v>36</v>
      </c>
      <c r="C77" s="4" t="s">
        <v>3</v>
      </c>
      <c r="D77" s="4" t="s">
        <v>3</v>
      </c>
      <c r="E77" s="4">
        <v>0.63</v>
      </c>
      <c r="F77" s="93">
        <v>0.48</v>
      </c>
      <c r="G77" s="4" t="s">
        <v>3</v>
      </c>
    </row>
    <row r="78" spans="2:7">
      <c r="B78" s="3" t="s">
        <v>37</v>
      </c>
      <c r="C78" s="4">
        <v>1.89</v>
      </c>
      <c r="D78" s="4">
        <v>1.48</v>
      </c>
      <c r="E78" s="4">
        <v>1.42</v>
      </c>
      <c r="F78" s="4">
        <v>1.1200000000000001</v>
      </c>
      <c r="G78" s="4">
        <v>0.93</v>
      </c>
    </row>
    <row r="79" spans="2:7">
      <c r="B79" s="3" t="s">
        <v>38</v>
      </c>
      <c r="C79" s="4">
        <v>1.53</v>
      </c>
      <c r="D79" s="4">
        <v>1.4</v>
      </c>
      <c r="E79" s="4">
        <v>1.55</v>
      </c>
      <c r="F79" s="4">
        <v>1.33</v>
      </c>
      <c r="G79" s="4">
        <v>1.23</v>
      </c>
    </row>
    <row r="80" spans="2:7">
      <c r="B80" s="3" t="s">
        <v>39</v>
      </c>
      <c r="C80" s="4">
        <v>8.18</v>
      </c>
      <c r="D80" s="4">
        <v>6.93</v>
      </c>
      <c r="E80" s="4">
        <v>7.18</v>
      </c>
      <c r="F80" s="93">
        <v>6.35</v>
      </c>
      <c r="G80" s="4">
        <v>5.31</v>
      </c>
    </row>
    <row r="81" spans="2:10">
      <c r="B81" s="3" t="s">
        <v>40</v>
      </c>
      <c r="C81" s="4">
        <v>1.9</v>
      </c>
      <c r="D81" s="4">
        <v>1.5</v>
      </c>
      <c r="E81" s="4">
        <v>1.5</v>
      </c>
      <c r="F81" s="4">
        <v>1.42</v>
      </c>
      <c r="G81" s="4">
        <v>1.28</v>
      </c>
    </row>
    <row r="82" spans="2:10">
      <c r="B82" s="3" t="s">
        <v>41</v>
      </c>
      <c r="C82" s="4" t="s">
        <v>3</v>
      </c>
      <c r="D82" s="4" t="s">
        <v>3</v>
      </c>
      <c r="E82" s="4" t="s">
        <v>3</v>
      </c>
      <c r="F82" s="93">
        <v>0.96</v>
      </c>
      <c r="G82" s="4">
        <v>0.81</v>
      </c>
    </row>
    <row r="83" spans="2:10">
      <c r="B83" s="3" t="s">
        <v>42</v>
      </c>
      <c r="C83" s="4" t="s">
        <v>3</v>
      </c>
      <c r="D83" s="4" t="s">
        <v>3</v>
      </c>
      <c r="E83" s="4" t="s">
        <v>3</v>
      </c>
      <c r="F83" s="4" t="s">
        <v>3</v>
      </c>
      <c r="G83" s="4" t="s">
        <v>3</v>
      </c>
    </row>
    <row r="85" spans="2:10">
      <c r="B85" s="4" t="s">
        <v>8</v>
      </c>
      <c r="C85" s="4" t="s">
        <v>9</v>
      </c>
    </row>
    <row r="86" spans="2:10">
      <c r="B86" s="4" t="s">
        <v>10</v>
      </c>
      <c r="C86" s="4" t="s">
        <v>11</v>
      </c>
    </row>
    <row r="87" spans="2:10">
      <c r="B87" s="4" t="s">
        <v>12</v>
      </c>
      <c r="C87" s="4" t="s">
        <v>13</v>
      </c>
    </row>
    <row r="88" spans="2:10">
      <c r="B88" s="3" t="s">
        <v>1</v>
      </c>
      <c r="C88" s="4" t="s">
        <v>14</v>
      </c>
    </row>
    <row r="89" spans="2:10">
      <c r="B89" s="3" t="s">
        <v>1</v>
      </c>
      <c r="C89" s="4" t="s">
        <v>15</v>
      </c>
    </row>
    <row r="91" spans="2:10">
      <c r="B91" s="4" t="s">
        <v>17</v>
      </c>
    </row>
    <row r="93" spans="2:10">
      <c r="B93" s="4" t="s">
        <v>18</v>
      </c>
      <c r="C93" s="4" t="s">
        <v>663</v>
      </c>
    </row>
    <row r="96" spans="2:10">
      <c r="B96" s="27" t="s">
        <v>28</v>
      </c>
      <c r="C96" s="28"/>
      <c r="D96" s="28"/>
      <c r="E96" s="28"/>
      <c r="F96" s="28"/>
      <c r="G96" s="28"/>
      <c r="H96" s="28"/>
      <c r="I96" s="28"/>
      <c r="J96" s="28"/>
    </row>
    <row r="97" spans="2:7">
      <c r="B97" t="s">
        <v>89</v>
      </c>
    </row>
    <row r="98" spans="2:7">
      <c r="B98" s="16" t="s">
        <v>667</v>
      </c>
    </row>
    <row r="99" spans="2:7">
      <c r="B99" s="3" t="s">
        <v>19</v>
      </c>
    </row>
    <row r="100" spans="2:7">
      <c r="B100" s="3" t="s">
        <v>1</v>
      </c>
      <c r="C100" s="3">
        <v>2019</v>
      </c>
      <c r="D100" s="3">
        <v>2020</v>
      </c>
      <c r="E100" s="3">
        <v>2021</v>
      </c>
      <c r="F100" s="3">
        <v>2022</v>
      </c>
      <c r="G100" s="3">
        <v>2023</v>
      </c>
    </row>
    <row r="101" spans="2:7">
      <c r="B101" s="3" t="s">
        <v>98</v>
      </c>
      <c r="C101" s="4">
        <v>51.5</v>
      </c>
      <c r="D101" s="4">
        <v>42.9</v>
      </c>
      <c r="E101" s="164">
        <v>43.7</v>
      </c>
      <c r="F101" s="164">
        <v>44.9</v>
      </c>
      <c r="G101" s="4">
        <v>45.4</v>
      </c>
    </row>
    <row r="102" spans="2:7">
      <c r="B102" s="3" t="s">
        <v>20</v>
      </c>
      <c r="C102" s="4">
        <v>45.7</v>
      </c>
      <c r="D102" s="4">
        <v>38.5</v>
      </c>
      <c r="E102" s="4">
        <v>39.6</v>
      </c>
      <c r="F102" s="4">
        <v>40.4</v>
      </c>
      <c r="G102" s="4">
        <v>40.9</v>
      </c>
    </row>
    <row r="103" spans="2:7">
      <c r="B103" s="3" t="s">
        <v>21</v>
      </c>
      <c r="C103" s="164">
        <v>5.6</v>
      </c>
      <c r="D103" s="4">
        <v>4.3</v>
      </c>
      <c r="E103" s="164">
        <v>4.0999999999999996</v>
      </c>
      <c r="F103" s="164">
        <v>4.0999999999999996</v>
      </c>
      <c r="G103" s="4">
        <v>4.0999999999999996</v>
      </c>
    </row>
    <row r="104" spans="2:7">
      <c r="B104" s="3" t="s">
        <v>22</v>
      </c>
      <c r="C104" s="4">
        <v>0.3</v>
      </c>
      <c r="D104" s="4">
        <v>0.1</v>
      </c>
      <c r="E104" s="4">
        <v>0.1</v>
      </c>
      <c r="F104" s="4">
        <v>0.4</v>
      </c>
      <c r="G104" s="4">
        <v>0.4</v>
      </c>
    </row>
    <row r="105" spans="2:7">
      <c r="B105" s="3" t="s">
        <v>23</v>
      </c>
      <c r="C105" s="4">
        <v>0</v>
      </c>
      <c r="D105" s="4">
        <v>0</v>
      </c>
      <c r="E105" s="4">
        <v>0</v>
      </c>
      <c r="F105" s="4">
        <v>0</v>
      </c>
      <c r="G105" s="4">
        <v>0</v>
      </c>
    </row>
    <row r="106" spans="2:7">
      <c r="B106" s="3" t="s">
        <v>24</v>
      </c>
      <c r="C106" s="4">
        <v>24.5</v>
      </c>
      <c r="D106" s="4">
        <v>19.7</v>
      </c>
      <c r="E106" s="4">
        <v>20.3</v>
      </c>
      <c r="F106" s="4">
        <v>22.5</v>
      </c>
      <c r="G106" s="4">
        <v>23</v>
      </c>
    </row>
    <row r="107" spans="2:7">
      <c r="B107" s="3" t="s">
        <v>25</v>
      </c>
      <c r="C107" s="4">
        <v>17.2</v>
      </c>
      <c r="D107" s="4">
        <v>16.3</v>
      </c>
      <c r="E107" s="4">
        <v>16.8</v>
      </c>
      <c r="F107" s="4">
        <v>18.2</v>
      </c>
      <c r="G107" s="4">
        <v>18.5</v>
      </c>
    </row>
    <row r="108" spans="2:7">
      <c r="B108" s="3" t="s">
        <v>26</v>
      </c>
      <c r="C108" s="4">
        <v>7.3</v>
      </c>
      <c r="D108" s="4">
        <v>3.4</v>
      </c>
      <c r="E108" s="4">
        <v>3.5</v>
      </c>
      <c r="F108" s="4">
        <v>4.4000000000000004</v>
      </c>
      <c r="G108" s="4">
        <v>4.4000000000000004</v>
      </c>
    </row>
    <row r="109" spans="2:7">
      <c r="B109" s="3" t="s">
        <v>27</v>
      </c>
      <c r="C109" s="4">
        <v>21.1</v>
      </c>
      <c r="D109" s="4">
        <v>18.8</v>
      </c>
      <c r="E109" s="4">
        <v>19.3</v>
      </c>
      <c r="F109" s="4">
        <v>17.8</v>
      </c>
      <c r="G109" s="4">
        <v>17.899999999999999</v>
      </c>
    </row>
    <row r="110" spans="2:7">
      <c r="B110" s="3" t="s">
        <v>99</v>
      </c>
      <c r="C110" s="4">
        <v>0</v>
      </c>
      <c r="D110" s="4">
        <v>0</v>
      </c>
      <c r="E110" s="4">
        <v>0</v>
      </c>
      <c r="F110" s="4">
        <v>0.3</v>
      </c>
      <c r="G110" s="4">
        <v>0.3</v>
      </c>
    </row>
    <row r="111" spans="2:7">
      <c r="B111" s="3" t="s">
        <v>100</v>
      </c>
      <c r="C111" s="4">
        <v>0</v>
      </c>
      <c r="D111" s="4">
        <v>0</v>
      </c>
      <c r="E111" s="4">
        <v>0</v>
      </c>
      <c r="F111" s="4">
        <v>0</v>
      </c>
      <c r="G111" s="4">
        <v>0</v>
      </c>
    </row>
    <row r="112" spans="2:7">
      <c r="B112" s="3" t="s">
        <v>101</v>
      </c>
      <c r="C112" s="4">
        <v>0.3</v>
      </c>
      <c r="D112" s="4">
        <v>0.1</v>
      </c>
      <c r="E112" s="4">
        <v>0.1</v>
      </c>
      <c r="F112" s="4">
        <v>0.1</v>
      </c>
      <c r="G112" s="4">
        <v>0.1</v>
      </c>
    </row>
    <row r="114" spans="2:10">
      <c r="B114" s="4" t="s">
        <v>10</v>
      </c>
      <c r="C114" s="4" t="s">
        <v>11</v>
      </c>
    </row>
    <row r="115" spans="2:10">
      <c r="B115" s="4" t="s">
        <v>12</v>
      </c>
      <c r="C115" s="4" t="s">
        <v>16</v>
      </c>
    </row>
    <row r="117" spans="2:10">
      <c r="B117" s="4" t="s">
        <v>17</v>
      </c>
    </row>
    <row r="119" spans="2:10">
      <c r="B119" s="4" t="s">
        <v>18</v>
      </c>
      <c r="C119" s="4" t="s">
        <v>663</v>
      </c>
    </row>
    <row r="122" spans="2:10">
      <c r="B122" s="30" t="s">
        <v>151</v>
      </c>
      <c r="C122" s="30"/>
      <c r="D122" s="30"/>
      <c r="E122" s="30"/>
      <c r="F122" s="30"/>
      <c r="G122" s="30"/>
      <c r="H122" s="30"/>
      <c r="I122" s="30"/>
      <c r="J122" s="30"/>
    </row>
    <row r="123" spans="2:10">
      <c r="B123" t="s">
        <v>89</v>
      </c>
    </row>
    <row r="124" spans="2:10">
      <c r="B124" s="16" t="s">
        <v>668</v>
      </c>
    </row>
    <row r="125" spans="2:10">
      <c r="B125" s="3" t="s">
        <v>0</v>
      </c>
    </row>
    <row r="126" spans="2:10">
      <c r="B126" s="3" t="s">
        <v>1</v>
      </c>
      <c r="C126" s="3">
        <v>2019</v>
      </c>
      <c r="D126" s="3">
        <v>2020</v>
      </c>
      <c r="E126" s="3">
        <v>2021</v>
      </c>
      <c r="F126" s="3">
        <v>2022</v>
      </c>
      <c r="G126" s="3">
        <v>2023</v>
      </c>
    </row>
    <row r="127" spans="2:10">
      <c r="B127" s="3" t="s">
        <v>102</v>
      </c>
      <c r="C127" s="14">
        <f>E127</f>
        <v>0.2</v>
      </c>
      <c r="D127" s="14">
        <f>E127</f>
        <v>0.2</v>
      </c>
      <c r="E127" s="4">
        <v>0.2</v>
      </c>
      <c r="F127" s="4">
        <v>0.2</v>
      </c>
      <c r="G127" s="4">
        <v>0.2</v>
      </c>
    </row>
    <row r="128" spans="2:10">
      <c r="B128" s="3" t="s">
        <v>103</v>
      </c>
      <c r="C128" s="4" t="s">
        <v>3</v>
      </c>
      <c r="D128" s="4" t="s">
        <v>3</v>
      </c>
      <c r="E128" s="4">
        <v>0.09</v>
      </c>
      <c r="F128" s="4">
        <v>7.0000000000000007E-2</v>
      </c>
      <c r="G128" s="4">
        <v>0.06</v>
      </c>
    </row>
    <row r="129" spans="2:7">
      <c r="B129" s="3" t="s">
        <v>104</v>
      </c>
      <c r="C129" s="4">
        <v>0.24</v>
      </c>
      <c r="D129" s="4">
        <v>0.18</v>
      </c>
      <c r="E129" s="4">
        <v>0.16</v>
      </c>
      <c r="F129" s="4">
        <v>0.13</v>
      </c>
      <c r="G129" s="4">
        <v>0.09</v>
      </c>
    </row>
    <row r="130" spans="2:7">
      <c r="B130" s="3" t="s">
        <v>105</v>
      </c>
      <c r="C130" s="4">
        <v>20</v>
      </c>
      <c r="D130" s="4">
        <v>20</v>
      </c>
      <c r="E130" s="4">
        <v>20</v>
      </c>
      <c r="F130" s="4">
        <v>20</v>
      </c>
      <c r="G130" s="4">
        <v>25</v>
      </c>
    </row>
    <row r="132" spans="2:7">
      <c r="B132" s="4" t="s">
        <v>8</v>
      </c>
      <c r="C132" s="4" t="s">
        <v>9</v>
      </c>
    </row>
    <row r="133" spans="2:7">
      <c r="B133" s="4" t="s">
        <v>12</v>
      </c>
      <c r="C133" s="4" t="s">
        <v>13</v>
      </c>
    </row>
    <row r="134" spans="2:7">
      <c r="B134" s="3" t="s">
        <v>1</v>
      </c>
      <c r="C134" s="4" t="s">
        <v>90</v>
      </c>
    </row>
    <row r="136" spans="2:7">
      <c r="B136" s="4" t="s">
        <v>17</v>
      </c>
    </row>
    <row r="138" spans="2:7">
      <c r="B138" s="4" t="s">
        <v>18</v>
      </c>
      <c r="C138" s="4" t="s">
        <v>663</v>
      </c>
    </row>
  </sheetData>
  <sheetProtection algorithmName="SHA-512" hashValue="t0Vu2eMguzc9+X0TJvrWmZ+hm3jMplGXT1PaUjuyP4bhFYuPdAcuSPPxH7Wfi7HP8452KEeZlbIHYqJkDFKTTg==" saltValue="XQRCYglASGFzDXbtxRzJmg==" spinCount="100000" sheet="1" objects="1" scenarios="1"/>
  <mergeCells count="1">
    <mergeCell ref="B1:J1"/>
  </mergeCells>
  <hyperlinks>
    <hyperlink ref="B62" r:id="rId1" xr:uid="{C069A5EF-6973-544D-B33B-B979B35CCF16}"/>
  </hyperlink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FEFAC-AEB8-E74D-9F9E-881E36AA6E5B}">
  <sheetPr codeName="Blad8">
    <tabColor theme="9" tint="0.59999389629810485"/>
  </sheetPr>
  <dimension ref="A2:P90"/>
  <sheetViews>
    <sheetView topLeftCell="B1" workbookViewId="0">
      <selection activeCell="C49" sqref="C49"/>
    </sheetView>
  </sheetViews>
  <sheetFormatPr defaultColWidth="10.59765625" defaultRowHeight="15.6"/>
  <cols>
    <col min="1" max="1" width="39.3984375" hidden="1" customWidth="1"/>
    <col min="2" max="2" width="11.09765625" customWidth="1"/>
    <col min="3" max="3" width="80.8984375" bestFit="1" customWidth="1"/>
    <col min="16" max="16" width="56.59765625" customWidth="1"/>
  </cols>
  <sheetData>
    <row r="2" spans="1:16" ht="21">
      <c r="C2" s="262" t="s">
        <v>615</v>
      </c>
      <c r="D2" s="262"/>
      <c r="E2" s="262"/>
      <c r="F2" s="262"/>
      <c r="G2" s="262"/>
      <c r="H2" s="262"/>
      <c r="I2" s="262"/>
      <c r="J2" s="262"/>
      <c r="K2" s="262"/>
      <c r="P2" s="216" t="s">
        <v>664</v>
      </c>
    </row>
    <row r="3" spans="1:16">
      <c r="P3" s="218" t="s">
        <v>669</v>
      </c>
    </row>
    <row r="4" spans="1:16">
      <c r="C4" s="23" t="s">
        <v>119</v>
      </c>
      <c r="D4" s="31"/>
      <c r="E4" s="31"/>
      <c r="F4" s="31"/>
      <c r="G4" s="31"/>
      <c r="H4" s="31"/>
      <c r="I4" s="31"/>
      <c r="J4" s="31"/>
      <c r="K4" s="31"/>
    </row>
    <row r="5" spans="1:16">
      <c r="C5" t="s">
        <v>89</v>
      </c>
    </row>
    <row r="6" spans="1:16">
      <c r="C6" s="16" t="s">
        <v>670</v>
      </c>
    </row>
    <row r="8" spans="1:16">
      <c r="C8" s="3" t="s">
        <v>165</v>
      </c>
    </row>
    <row r="9" spans="1:16">
      <c r="C9" s="3" t="s">
        <v>1</v>
      </c>
      <c r="D9" s="3">
        <v>2019</v>
      </c>
      <c r="E9" s="3">
        <v>2020</v>
      </c>
      <c r="F9" s="3">
        <v>2021</v>
      </c>
      <c r="G9" s="3">
        <v>2022</v>
      </c>
      <c r="H9" s="3">
        <v>2023</v>
      </c>
    </row>
    <row r="10" spans="1:16">
      <c r="A10" t="s">
        <v>172</v>
      </c>
      <c r="C10" s="3" t="s">
        <v>166</v>
      </c>
      <c r="D10" s="4">
        <v>2890</v>
      </c>
      <c r="E10" s="4">
        <v>2686</v>
      </c>
      <c r="F10" s="4">
        <v>2704</v>
      </c>
      <c r="G10" s="164">
        <v>2556</v>
      </c>
      <c r="H10" s="146">
        <f>H49</f>
        <v>2445</v>
      </c>
      <c r="L10" s="39"/>
    </row>
    <row r="11" spans="1:16">
      <c r="A11" t="s">
        <v>540</v>
      </c>
      <c r="C11" s="3" t="s">
        <v>167</v>
      </c>
      <c r="D11" s="4">
        <v>108</v>
      </c>
      <c r="E11" s="4">
        <v>105</v>
      </c>
      <c r="F11" s="4">
        <v>118</v>
      </c>
      <c r="G11" s="164">
        <v>138</v>
      </c>
      <c r="H11" s="146">
        <f t="shared" ref="H11:H14" si="0">H50</f>
        <v>151</v>
      </c>
    </row>
    <row r="12" spans="1:16">
      <c r="A12" t="s">
        <v>161</v>
      </c>
      <c r="C12" s="3" t="s">
        <v>168</v>
      </c>
      <c r="D12" s="4">
        <v>27</v>
      </c>
      <c r="E12" s="4">
        <v>38</v>
      </c>
      <c r="F12" s="4">
        <v>42</v>
      </c>
      <c r="G12" s="164">
        <v>63</v>
      </c>
      <c r="H12" s="146">
        <f t="shared" si="0"/>
        <v>74</v>
      </c>
    </row>
    <row r="13" spans="1:16">
      <c r="A13" t="s">
        <v>162</v>
      </c>
      <c r="C13" s="3" t="s">
        <v>169</v>
      </c>
      <c r="D13" s="4">
        <v>29</v>
      </c>
      <c r="E13" s="4">
        <v>25</v>
      </c>
      <c r="F13" s="4">
        <v>27</v>
      </c>
      <c r="G13" s="4">
        <v>29</v>
      </c>
      <c r="H13" s="146">
        <f t="shared" si="0"/>
        <v>31</v>
      </c>
    </row>
    <row r="14" spans="1:16">
      <c r="A14" t="s">
        <v>163</v>
      </c>
      <c r="C14" s="3" t="s">
        <v>170</v>
      </c>
      <c r="D14" s="4">
        <v>53</v>
      </c>
      <c r="E14" s="4">
        <v>43</v>
      </c>
      <c r="F14" s="4">
        <v>49</v>
      </c>
      <c r="G14" s="4">
        <v>46</v>
      </c>
      <c r="H14" s="146">
        <f t="shared" si="0"/>
        <v>46</v>
      </c>
    </row>
    <row r="16" spans="1:16">
      <c r="C16" s="4" t="s">
        <v>8</v>
      </c>
      <c r="D16" s="4" t="s">
        <v>9</v>
      </c>
    </row>
    <row r="17" spans="1:11">
      <c r="C17" s="4" t="s">
        <v>10</v>
      </c>
      <c r="D17" s="4" t="s">
        <v>118</v>
      </c>
    </row>
    <row r="18" spans="1:11">
      <c r="C18" s="4" t="s">
        <v>12</v>
      </c>
      <c r="D18" s="4" t="s">
        <v>77</v>
      </c>
    </row>
    <row r="19" spans="1:11">
      <c r="C19" s="3" t="s">
        <v>1</v>
      </c>
      <c r="D19" s="4" t="s">
        <v>76</v>
      </c>
    </row>
    <row r="21" spans="1:11">
      <c r="C21" s="4" t="s">
        <v>17</v>
      </c>
    </row>
    <row r="23" spans="1:11">
      <c r="C23" s="4" t="s">
        <v>18</v>
      </c>
      <c r="D23" s="4" t="s">
        <v>663</v>
      </c>
    </row>
    <row r="24" spans="1:11" ht="17.100000000000001" customHeight="1"/>
    <row r="26" spans="1:11">
      <c r="C26" s="23" t="s">
        <v>173</v>
      </c>
      <c r="D26" s="31"/>
      <c r="E26" s="31"/>
      <c r="F26" s="31"/>
      <c r="G26" s="31"/>
      <c r="H26" s="31"/>
      <c r="I26" s="31"/>
      <c r="J26" s="31"/>
      <c r="K26" s="31"/>
    </row>
    <row r="27" spans="1:11">
      <c r="C27" t="s">
        <v>12</v>
      </c>
    </row>
    <row r="28" spans="1:11">
      <c r="C28" s="16" t="s">
        <v>671</v>
      </c>
    </row>
    <row r="29" spans="1:11">
      <c r="C29" s="3" t="s">
        <v>174</v>
      </c>
    </row>
    <row r="30" spans="1:11">
      <c r="C30" s="3" t="s">
        <v>1</v>
      </c>
      <c r="D30" s="3">
        <v>2019</v>
      </c>
      <c r="E30" s="3">
        <v>2020</v>
      </c>
      <c r="F30" s="3">
        <v>2021</v>
      </c>
      <c r="G30" s="3">
        <v>2022</v>
      </c>
      <c r="H30" s="3">
        <v>2023</v>
      </c>
    </row>
    <row r="31" spans="1:11">
      <c r="A31" t="s">
        <v>538</v>
      </c>
      <c r="C31" s="3" t="s">
        <v>175</v>
      </c>
      <c r="D31" s="4">
        <v>22</v>
      </c>
      <c r="E31" s="4">
        <v>34</v>
      </c>
      <c r="F31" s="4">
        <v>39</v>
      </c>
      <c r="G31" s="164">
        <v>60</v>
      </c>
      <c r="H31" s="4">
        <v>71</v>
      </c>
    </row>
    <row r="32" spans="1:11">
      <c r="A32" t="s">
        <v>539</v>
      </c>
      <c r="C32" s="3" t="s">
        <v>176</v>
      </c>
      <c r="D32" s="4">
        <v>6</v>
      </c>
      <c r="E32" s="4">
        <v>10</v>
      </c>
      <c r="F32" s="4">
        <v>11</v>
      </c>
      <c r="G32" s="164">
        <v>17</v>
      </c>
      <c r="H32" s="4">
        <v>20</v>
      </c>
    </row>
    <row r="33" spans="1:11">
      <c r="A33" t="s">
        <v>180</v>
      </c>
      <c r="C33" s="3" t="s">
        <v>177</v>
      </c>
      <c r="D33" s="4" t="s">
        <v>1</v>
      </c>
      <c r="E33" s="4">
        <v>8</v>
      </c>
      <c r="F33" s="4">
        <v>9</v>
      </c>
      <c r="G33" s="4">
        <v>13</v>
      </c>
      <c r="H33" s="4">
        <v>15</v>
      </c>
    </row>
    <row r="34" spans="1:11">
      <c r="A34" t="s">
        <v>181</v>
      </c>
      <c r="C34" s="3" t="s">
        <v>178</v>
      </c>
      <c r="D34" s="4" t="s">
        <v>1</v>
      </c>
      <c r="E34" s="4">
        <v>2</v>
      </c>
      <c r="F34" s="4">
        <v>2</v>
      </c>
      <c r="G34" s="4">
        <v>4</v>
      </c>
      <c r="H34" s="4">
        <v>5</v>
      </c>
    </row>
    <row r="35" spans="1:11">
      <c r="A35" t="s">
        <v>182</v>
      </c>
      <c r="C35" s="3" t="s">
        <v>179</v>
      </c>
      <c r="D35" s="164">
        <v>17</v>
      </c>
      <c r="E35" s="4">
        <v>27</v>
      </c>
      <c r="F35" s="4">
        <v>32</v>
      </c>
      <c r="G35" s="164">
        <v>46</v>
      </c>
      <c r="H35" s="4">
        <v>54</v>
      </c>
    </row>
    <row r="36" spans="1:11">
      <c r="C36" s="3" t="s">
        <v>545</v>
      </c>
      <c r="D36" s="4">
        <v>2050</v>
      </c>
      <c r="E36" s="4">
        <v>2822</v>
      </c>
      <c r="F36" s="4">
        <v>3502</v>
      </c>
      <c r="G36" s="4">
        <v>4397</v>
      </c>
      <c r="H36" s="4">
        <v>5325</v>
      </c>
    </row>
    <row r="37" spans="1:11">
      <c r="D37" s="4" t="s">
        <v>58</v>
      </c>
    </row>
    <row r="38" spans="1:11">
      <c r="C38" s="4" t="s">
        <v>12</v>
      </c>
    </row>
    <row r="40" spans="1:11">
      <c r="C40" s="4" t="s">
        <v>17</v>
      </c>
    </row>
    <row r="42" spans="1:11">
      <c r="C42" s="4" t="s">
        <v>18</v>
      </c>
      <c r="D42" s="4" t="s">
        <v>663</v>
      </c>
    </row>
    <row r="44" spans="1:11">
      <c r="C44" s="23" t="s">
        <v>710</v>
      </c>
      <c r="D44" s="31"/>
      <c r="E44" s="31"/>
      <c r="F44" s="31"/>
      <c r="G44" s="31"/>
      <c r="H44" s="31"/>
      <c r="I44" s="31"/>
      <c r="J44" s="31"/>
      <c r="K44" s="31"/>
    </row>
    <row r="45" spans="1:11">
      <c r="C45" t="s">
        <v>12</v>
      </c>
    </row>
    <row r="46" spans="1:11">
      <c r="C46" s="16" t="s">
        <v>711</v>
      </c>
    </row>
    <row r="47" spans="1:11">
      <c r="C47" s="3" t="s">
        <v>676</v>
      </c>
    </row>
    <row r="48" spans="1:11">
      <c r="C48" s="3" t="s">
        <v>1</v>
      </c>
      <c r="D48" s="3">
        <v>2019</v>
      </c>
      <c r="E48" s="3">
        <v>2020</v>
      </c>
      <c r="F48" s="3">
        <v>2021</v>
      </c>
      <c r="G48" s="3">
        <v>2022</v>
      </c>
      <c r="H48" s="3">
        <v>2023</v>
      </c>
    </row>
    <row r="49" spans="3:8">
      <c r="C49" s="3" t="s">
        <v>677</v>
      </c>
      <c r="D49" s="4">
        <v>2890</v>
      </c>
      <c r="E49" s="4">
        <v>2686</v>
      </c>
      <c r="F49" s="4">
        <v>2704</v>
      </c>
      <c r="G49" s="4">
        <v>2556</v>
      </c>
      <c r="H49" s="146">
        <f>H54+18</f>
        <v>2445</v>
      </c>
    </row>
    <row r="50" spans="3:8">
      <c r="C50" s="3" t="s">
        <v>678</v>
      </c>
      <c r="D50" s="4">
        <v>108</v>
      </c>
      <c r="E50" s="4">
        <v>105</v>
      </c>
      <c r="F50" s="4">
        <v>118</v>
      </c>
      <c r="G50" s="4">
        <v>138</v>
      </c>
      <c r="H50" s="146">
        <f>SUM(H51:H53)</f>
        <v>151</v>
      </c>
    </row>
    <row r="51" spans="3:8">
      <c r="C51" s="3" t="s">
        <v>679</v>
      </c>
      <c r="D51" s="4">
        <v>27</v>
      </c>
      <c r="E51" s="4">
        <v>38</v>
      </c>
      <c r="F51" s="4">
        <v>42</v>
      </c>
      <c r="G51" s="4">
        <v>63</v>
      </c>
      <c r="H51" s="146">
        <f>H57+H58+H59+H62</f>
        <v>74</v>
      </c>
    </row>
    <row r="52" spans="3:8">
      <c r="C52" s="3" t="s">
        <v>680</v>
      </c>
      <c r="D52" s="4">
        <v>29</v>
      </c>
      <c r="E52" s="4">
        <v>25</v>
      </c>
      <c r="F52" s="4">
        <v>27</v>
      </c>
      <c r="G52" s="4">
        <v>29</v>
      </c>
      <c r="H52" s="146">
        <f>SUM(H63:H70)</f>
        <v>31</v>
      </c>
    </row>
    <row r="53" spans="3:8">
      <c r="C53" s="3" t="s">
        <v>681</v>
      </c>
      <c r="D53" s="4">
        <v>53</v>
      </c>
      <c r="E53" s="4">
        <v>43</v>
      </c>
      <c r="F53" s="4">
        <v>49</v>
      </c>
      <c r="G53" s="4">
        <v>46</v>
      </c>
      <c r="H53" s="146">
        <f>SUM(H72:H76)</f>
        <v>46</v>
      </c>
    </row>
    <row r="54" spans="3:8">
      <c r="C54" s="3" t="s">
        <v>682</v>
      </c>
      <c r="D54" s="4">
        <v>2875</v>
      </c>
      <c r="E54" s="4">
        <v>2670</v>
      </c>
      <c r="F54" s="4">
        <v>2689</v>
      </c>
      <c r="G54" s="4">
        <v>2539</v>
      </c>
      <c r="H54" s="4">
        <v>2427</v>
      </c>
    </row>
    <row r="55" spans="3:8">
      <c r="C55" s="226" t="s">
        <v>683</v>
      </c>
      <c r="D55" s="93">
        <f>D49-D54</f>
        <v>15</v>
      </c>
      <c r="E55" s="93">
        <f t="shared" ref="E55:G55" si="1">E49-E54</f>
        <v>16</v>
      </c>
      <c r="F55" s="93">
        <f t="shared" si="1"/>
        <v>15</v>
      </c>
      <c r="G55" s="93">
        <f t="shared" si="1"/>
        <v>17</v>
      </c>
      <c r="H55" s="227">
        <f>H49-H54</f>
        <v>18</v>
      </c>
    </row>
    <row r="56" spans="3:8">
      <c r="C56" s="3" t="s">
        <v>684</v>
      </c>
      <c r="D56" s="4">
        <v>22</v>
      </c>
      <c r="E56" s="4">
        <v>17</v>
      </c>
      <c r="F56" s="4">
        <v>20</v>
      </c>
      <c r="G56" s="4">
        <v>21</v>
      </c>
      <c r="H56" s="231">
        <f>H58+H65+H76</f>
        <v>21</v>
      </c>
    </row>
    <row r="57" spans="3:8">
      <c r="C57" s="228" t="s">
        <v>685</v>
      </c>
      <c r="D57" s="4" t="s">
        <v>1</v>
      </c>
      <c r="E57" s="4" t="s">
        <v>1</v>
      </c>
      <c r="F57" s="4" t="s">
        <v>1</v>
      </c>
      <c r="G57" s="4" t="s">
        <v>1</v>
      </c>
      <c r="H57" s="4">
        <v>0</v>
      </c>
    </row>
    <row r="58" spans="3:8">
      <c r="C58" s="228" t="s">
        <v>686</v>
      </c>
      <c r="D58" s="4">
        <v>4</v>
      </c>
      <c r="E58" s="4">
        <v>3</v>
      </c>
      <c r="F58" s="4">
        <v>3</v>
      </c>
      <c r="G58" s="4">
        <v>3</v>
      </c>
      <c r="H58" s="146">
        <v>3</v>
      </c>
    </row>
    <row r="59" spans="3:8">
      <c r="C59" s="228" t="s">
        <v>687</v>
      </c>
      <c r="D59" s="4">
        <v>0</v>
      </c>
      <c r="E59" s="4">
        <v>0</v>
      </c>
      <c r="F59" s="4">
        <v>0</v>
      </c>
      <c r="G59" s="4">
        <v>0</v>
      </c>
      <c r="H59" s="231">
        <v>0</v>
      </c>
    </row>
    <row r="60" spans="3:8">
      <c r="C60" s="228" t="s">
        <v>688</v>
      </c>
      <c r="D60" s="4" t="s">
        <v>1</v>
      </c>
      <c r="E60" s="4" t="s">
        <v>1</v>
      </c>
      <c r="F60" s="4" t="s">
        <v>1</v>
      </c>
      <c r="G60" s="4" t="s">
        <v>1</v>
      </c>
      <c r="H60" s="4" t="s">
        <v>1</v>
      </c>
    </row>
    <row r="61" spans="3:8">
      <c r="C61" s="228" t="s">
        <v>689</v>
      </c>
      <c r="D61" s="4" t="s">
        <v>1</v>
      </c>
      <c r="E61" s="4" t="s">
        <v>1</v>
      </c>
      <c r="F61" s="4" t="s">
        <v>1</v>
      </c>
      <c r="G61" s="4" t="s">
        <v>1</v>
      </c>
      <c r="H61" s="4" t="s">
        <v>1</v>
      </c>
    </row>
    <row r="62" spans="3:8">
      <c r="C62" s="228" t="s">
        <v>690</v>
      </c>
      <c r="D62" s="4">
        <v>22</v>
      </c>
      <c r="E62" s="4">
        <v>34</v>
      </c>
      <c r="F62" s="4">
        <v>39</v>
      </c>
      <c r="G62" s="4">
        <v>60</v>
      </c>
      <c r="H62" s="4">
        <v>71</v>
      </c>
    </row>
    <row r="63" spans="3:8">
      <c r="C63" s="229" t="s">
        <v>691</v>
      </c>
      <c r="D63" s="4">
        <v>0</v>
      </c>
      <c r="E63" s="4">
        <v>0</v>
      </c>
      <c r="F63" s="4">
        <v>0</v>
      </c>
      <c r="G63" s="4" t="s">
        <v>1</v>
      </c>
      <c r="H63" s="231">
        <v>0</v>
      </c>
    </row>
    <row r="64" spans="3:8">
      <c r="C64" s="229" t="s">
        <v>692</v>
      </c>
      <c r="D64" s="4" t="s">
        <v>1</v>
      </c>
      <c r="E64" s="4" t="s">
        <v>1</v>
      </c>
      <c r="F64" s="4" t="s">
        <v>1</v>
      </c>
      <c r="G64" s="4" t="s">
        <v>1</v>
      </c>
      <c r="H64" s="4">
        <v>0</v>
      </c>
    </row>
    <row r="65" spans="3:8">
      <c r="C65" s="229" t="s">
        <v>693</v>
      </c>
      <c r="D65" s="4">
        <v>13</v>
      </c>
      <c r="E65" s="4">
        <v>9</v>
      </c>
      <c r="F65" s="4">
        <v>11</v>
      </c>
      <c r="G65" s="4">
        <v>12</v>
      </c>
      <c r="H65" s="231">
        <v>12</v>
      </c>
    </row>
    <row r="66" spans="3:8">
      <c r="C66" s="229" t="s">
        <v>694</v>
      </c>
      <c r="D66" s="4">
        <v>0</v>
      </c>
      <c r="E66" s="4">
        <v>0</v>
      </c>
      <c r="F66" s="4">
        <v>0</v>
      </c>
      <c r="G66" s="4">
        <v>0</v>
      </c>
      <c r="H66" s="4">
        <v>0</v>
      </c>
    </row>
    <row r="67" spans="3:8">
      <c r="C67" s="229" t="s">
        <v>695</v>
      </c>
      <c r="D67" s="4" t="s">
        <v>75</v>
      </c>
      <c r="E67" s="4" t="s">
        <v>75</v>
      </c>
      <c r="F67" s="4" t="s">
        <v>75</v>
      </c>
      <c r="G67" s="4" t="s">
        <v>75</v>
      </c>
      <c r="H67" s="4">
        <v>0</v>
      </c>
    </row>
    <row r="68" spans="3:8">
      <c r="C68" s="229" t="s">
        <v>696</v>
      </c>
      <c r="D68" s="4">
        <v>13</v>
      </c>
      <c r="E68" s="4">
        <v>13</v>
      </c>
      <c r="F68" s="4">
        <v>13</v>
      </c>
      <c r="G68" s="4">
        <v>13</v>
      </c>
      <c r="H68" s="4">
        <v>12</v>
      </c>
    </row>
    <row r="69" spans="3:8">
      <c r="C69" s="229" t="s">
        <v>697</v>
      </c>
      <c r="D69" s="4">
        <v>1</v>
      </c>
      <c r="E69" s="4">
        <v>1</v>
      </c>
      <c r="F69" s="4">
        <v>1</v>
      </c>
      <c r="G69" s="4">
        <v>1</v>
      </c>
      <c r="H69" s="4">
        <v>1</v>
      </c>
    </row>
    <row r="70" spans="3:8">
      <c r="C70" s="229" t="s">
        <v>698</v>
      </c>
      <c r="D70" s="4">
        <v>2</v>
      </c>
      <c r="E70" s="4">
        <v>2</v>
      </c>
      <c r="F70" s="4">
        <v>3</v>
      </c>
      <c r="G70" s="4">
        <v>4</v>
      </c>
      <c r="H70" s="4">
        <v>6</v>
      </c>
    </row>
    <row r="71" spans="3:8">
      <c r="C71" s="230" t="s">
        <v>699</v>
      </c>
      <c r="D71" s="4">
        <v>48</v>
      </c>
      <c r="E71" s="4">
        <v>38</v>
      </c>
      <c r="F71" s="4">
        <v>44</v>
      </c>
      <c r="G71" s="4">
        <v>40</v>
      </c>
      <c r="H71" s="4">
        <v>40</v>
      </c>
    </row>
    <row r="72" spans="3:8">
      <c r="C72" s="230" t="s">
        <v>700</v>
      </c>
      <c r="D72" s="4">
        <v>43</v>
      </c>
      <c r="E72" s="4">
        <v>35</v>
      </c>
      <c r="F72" s="4">
        <v>40</v>
      </c>
      <c r="G72" s="4">
        <v>37</v>
      </c>
      <c r="H72" s="4">
        <v>37</v>
      </c>
    </row>
    <row r="73" spans="3:8">
      <c r="C73" s="230" t="s">
        <v>701</v>
      </c>
      <c r="D73" s="4">
        <v>5</v>
      </c>
      <c r="E73" s="4">
        <v>3</v>
      </c>
      <c r="F73" s="4">
        <v>3</v>
      </c>
      <c r="G73" s="4">
        <v>3</v>
      </c>
      <c r="H73" s="4">
        <v>3</v>
      </c>
    </row>
    <row r="74" spans="3:8">
      <c r="C74" s="230" t="s">
        <v>702</v>
      </c>
      <c r="D74" s="4">
        <v>0</v>
      </c>
      <c r="E74" s="4">
        <v>0</v>
      </c>
      <c r="F74" s="4">
        <v>0</v>
      </c>
      <c r="G74" s="4">
        <v>0</v>
      </c>
      <c r="H74" s="4">
        <v>0</v>
      </c>
    </row>
    <row r="75" spans="3:8">
      <c r="C75" s="230" t="s">
        <v>703</v>
      </c>
      <c r="D75" s="4">
        <v>0</v>
      </c>
      <c r="E75" s="4">
        <v>0</v>
      </c>
      <c r="F75" s="4">
        <v>0</v>
      </c>
      <c r="G75" s="4">
        <v>0</v>
      </c>
      <c r="H75" s="4">
        <v>0</v>
      </c>
    </row>
    <row r="76" spans="3:8">
      <c r="C76" s="230" t="s">
        <v>704</v>
      </c>
      <c r="D76" s="4">
        <v>5</v>
      </c>
      <c r="E76" s="4">
        <v>5</v>
      </c>
      <c r="F76" s="4">
        <v>6</v>
      </c>
      <c r="G76" s="4">
        <v>6</v>
      </c>
      <c r="H76" s="231">
        <v>6</v>
      </c>
    </row>
    <row r="78" spans="3:8">
      <c r="C78" s="4" t="s">
        <v>8</v>
      </c>
      <c r="D78" s="4" t="s">
        <v>705</v>
      </c>
    </row>
    <row r="79" spans="3:8">
      <c r="C79" s="3" t="s">
        <v>1</v>
      </c>
      <c r="D79" s="4" t="s">
        <v>9</v>
      </c>
    </row>
    <row r="80" spans="3:8">
      <c r="C80" s="4" t="s">
        <v>10</v>
      </c>
      <c r="D80" s="4" t="s">
        <v>118</v>
      </c>
    </row>
    <row r="81" spans="3:4">
      <c r="C81" s="4" t="s">
        <v>12</v>
      </c>
      <c r="D81" s="4" t="s">
        <v>77</v>
      </c>
    </row>
    <row r="82" spans="3:4">
      <c r="C82" s="3" t="s">
        <v>1</v>
      </c>
      <c r="D82" s="4" t="s">
        <v>76</v>
      </c>
    </row>
    <row r="83" spans="3:4">
      <c r="C83" s="3" t="s">
        <v>1</v>
      </c>
      <c r="D83" s="4" t="s">
        <v>706</v>
      </c>
    </row>
    <row r="84" spans="3:4">
      <c r="C84" s="3" t="s">
        <v>1</v>
      </c>
      <c r="D84" s="4" t="s">
        <v>707</v>
      </c>
    </row>
    <row r="85" spans="3:4">
      <c r="C85" s="3" t="s">
        <v>1</v>
      </c>
      <c r="D85" s="4" t="s">
        <v>708</v>
      </c>
    </row>
    <row r="86" spans="3:4">
      <c r="C86" s="3" t="s">
        <v>1</v>
      </c>
      <c r="D86" s="4" t="s">
        <v>58</v>
      </c>
    </row>
    <row r="88" spans="3:4">
      <c r="C88" s="4" t="s">
        <v>17</v>
      </c>
    </row>
    <row r="90" spans="3:4">
      <c r="C90" s="4" t="s">
        <v>18</v>
      </c>
      <c r="D90" s="4" t="s">
        <v>709</v>
      </c>
    </row>
  </sheetData>
  <sheetProtection algorithmName="SHA-512" hashValue="AmQtCzKsHdUYhT9N1aJQCS+wJzOANjgwf4vq/v2Us0c1df+SGVh6Bk9usWSMUw46CSSHBd4mPqCmyASDU+aDbA==" saltValue="DS1cKSFLs6tc00klLgNsIQ==" spinCount="100000" sheet="1" objects="1" scenarios="1"/>
  <mergeCells count="1">
    <mergeCell ref="C2:K2"/>
  </mergeCells>
  <hyperlinks>
    <hyperlink ref="C6" r:id="rId1" xr:uid="{94AE4F16-D53E-9D49-B82F-DEAB265094B3}"/>
    <hyperlink ref="C46" r:id="rId2" tooltip="https://klimaatmonitor.databank.nl/Jive?workspace_guid=49be9a11-85a8-4ad5-a4f5-00dfcde3c395" xr:uid="{9A9ECF31-C495-CD42-B76D-45DC89A1F698}"/>
  </hyperlinks>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6EE6-CF2B-5B4C-9056-9A376F4620EB}">
  <sheetPr codeName="Blad9">
    <tabColor theme="9" tint="0.59999389629810485"/>
  </sheetPr>
  <dimension ref="B1:J28"/>
  <sheetViews>
    <sheetView workbookViewId="0">
      <selection activeCell="C28" sqref="C28"/>
    </sheetView>
  </sheetViews>
  <sheetFormatPr defaultColWidth="10.59765625" defaultRowHeight="15.6"/>
  <cols>
    <col min="2" max="2" width="68.5" customWidth="1"/>
  </cols>
  <sheetData>
    <row r="1" spans="2:10" ht="18">
      <c r="B1" s="263" t="s">
        <v>616</v>
      </c>
      <c r="C1" s="263"/>
      <c r="D1" s="263"/>
      <c r="E1" s="263"/>
      <c r="F1" s="263"/>
      <c r="G1" s="263"/>
      <c r="H1" s="263"/>
      <c r="I1" s="263"/>
      <c r="J1" s="263"/>
    </row>
    <row r="3" spans="2:10">
      <c r="B3" s="34" t="s">
        <v>121</v>
      </c>
      <c r="C3" s="33"/>
      <c r="D3" s="33"/>
      <c r="E3" s="33"/>
      <c r="F3" s="33"/>
      <c r="G3" s="33"/>
      <c r="H3" s="33"/>
      <c r="I3" s="33"/>
      <c r="J3" s="33"/>
    </row>
    <row r="4" spans="2:10">
      <c r="B4" t="s">
        <v>89</v>
      </c>
    </row>
    <row r="5" spans="2:10">
      <c r="B5" s="16" t="s">
        <v>672</v>
      </c>
    </row>
    <row r="6" spans="2:10">
      <c r="B6" s="34" t="s">
        <v>124</v>
      </c>
    </row>
    <row r="7" spans="2:10">
      <c r="B7" s="3" t="s">
        <v>122</v>
      </c>
    </row>
    <row r="8" spans="2:10">
      <c r="B8" s="3" t="s">
        <v>1</v>
      </c>
      <c r="C8" s="3">
        <v>2019</v>
      </c>
      <c r="D8" s="3">
        <v>2020</v>
      </c>
      <c r="E8" s="3">
        <v>2021</v>
      </c>
      <c r="F8" s="3">
        <v>2022</v>
      </c>
      <c r="G8" s="3">
        <v>2023</v>
      </c>
    </row>
    <row r="9" spans="2:10">
      <c r="B9" s="3" t="s">
        <v>61</v>
      </c>
      <c r="C9" s="4">
        <v>18834</v>
      </c>
      <c r="D9" s="4">
        <v>19266</v>
      </c>
      <c r="E9" s="4">
        <v>19575</v>
      </c>
      <c r="F9" s="164">
        <v>19950</v>
      </c>
      <c r="G9" s="4">
        <v>20120</v>
      </c>
    </row>
    <row r="10" spans="2:10">
      <c r="B10" s="3" t="s">
        <v>62</v>
      </c>
      <c r="C10" s="4">
        <v>2706</v>
      </c>
      <c r="D10" s="4">
        <v>2780</v>
      </c>
      <c r="E10" s="4">
        <v>2856</v>
      </c>
      <c r="F10" s="4">
        <v>2928</v>
      </c>
      <c r="G10" s="219">
        <f>F10</f>
        <v>2928</v>
      </c>
    </row>
    <row r="11" spans="2:10">
      <c r="B11" s="3" t="s">
        <v>63</v>
      </c>
      <c r="C11" s="4">
        <v>211</v>
      </c>
      <c r="D11" s="4">
        <v>337</v>
      </c>
      <c r="E11" s="4">
        <v>503</v>
      </c>
      <c r="F11" s="4">
        <v>672</v>
      </c>
      <c r="G11" s="4">
        <v>859</v>
      </c>
    </row>
    <row r="12" spans="2:10">
      <c r="B12" s="3" t="s">
        <v>64</v>
      </c>
      <c r="C12" s="4">
        <v>156</v>
      </c>
      <c r="D12" s="4">
        <v>179</v>
      </c>
      <c r="E12" s="4">
        <v>279</v>
      </c>
      <c r="F12" s="4">
        <v>375</v>
      </c>
      <c r="G12" s="4">
        <v>506</v>
      </c>
    </row>
    <row r="13" spans="2:10">
      <c r="B13" s="3" t="s">
        <v>65</v>
      </c>
      <c r="C13" s="4">
        <v>0</v>
      </c>
      <c r="D13" s="4">
        <v>0</v>
      </c>
      <c r="E13" s="4">
        <v>0</v>
      </c>
      <c r="F13" s="4">
        <v>1</v>
      </c>
      <c r="G13" s="4">
        <v>1</v>
      </c>
    </row>
    <row r="14" spans="2:10">
      <c r="B14" s="3" t="s">
        <v>123</v>
      </c>
      <c r="C14" s="4">
        <v>22</v>
      </c>
      <c r="D14" s="4">
        <v>20</v>
      </c>
      <c r="E14" s="4">
        <v>16</v>
      </c>
      <c r="F14" s="4">
        <v>17</v>
      </c>
      <c r="G14" s="4">
        <v>5</v>
      </c>
    </row>
    <row r="15" spans="2:10">
      <c r="B15" s="3" t="s">
        <v>67</v>
      </c>
      <c r="C15" s="4">
        <v>110</v>
      </c>
      <c r="D15" s="4">
        <v>112</v>
      </c>
      <c r="E15" s="4">
        <v>134</v>
      </c>
      <c r="F15" s="4">
        <v>166</v>
      </c>
      <c r="G15" s="4">
        <v>258</v>
      </c>
    </row>
    <row r="16" spans="2:10">
      <c r="B16" s="3" t="s">
        <v>68</v>
      </c>
      <c r="C16" s="4">
        <v>0</v>
      </c>
      <c r="D16" s="4">
        <v>0</v>
      </c>
      <c r="E16" s="4">
        <v>3</v>
      </c>
      <c r="F16" s="4">
        <v>7</v>
      </c>
      <c r="G16" s="4">
        <v>7</v>
      </c>
    </row>
    <row r="17" spans="2:7">
      <c r="B17" s="3" t="s">
        <v>69</v>
      </c>
      <c r="C17" s="4">
        <v>60</v>
      </c>
      <c r="D17" s="4">
        <v>82</v>
      </c>
      <c r="E17" s="4">
        <v>89</v>
      </c>
      <c r="F17" s="4">
        <v>116</v>
      </c>
      <c r="G17" s="4">
        <v>182</v>
      </c>
    </row>
    <row r="18" spans="2:7">
      <c r="B18" s="3" t="s">
        <v>70</v>
      </c>
      <c r="C18" s="4">
        <v>50</v>
      </c>
      <c r="D18" s="4">
        <v>30</v>
      </c>
      <c r="E18" s="4">
        <v>45</v>
      </c>
      <c r="F18" s="4">
        <v>50</v>
      </c>
      <c r="G18" s="4">
        <v>76</v>
      </c>
    </row>
    <row r="19" spans="2:7">
      <c r="B19" s="3" t="s">
        <v>66</v>
      </c>
      <c r="C19" s="4">
        <v>110</v>
      </c>
      <c r="D19" s="4">
        <v>112</v>
      </c>
      <c r="E19" s="4">
        <v>137</v>
      </c>
      <c r="F19" s="4">
        <v>173</v>
      </c>
      <c r="G19" s="4">
        <v>265</v>
      </c>
    </row>
    <row r="21" spans="2:7">
      <c r="B21" s="4" t="s">
        <v>10</v>
      </c>
      <c r="C21" s="4" t="s">
        <v>71</v>
      </c>
    </row>
    <row r="22" spans="2:7">
      <c r="B22" s="4" t="s">
        <v>12</v>
      </c>
      <c r="C22" s="4" t="s">
        <v>72</v>
      </c>
    </row>
    <row r="23" spans="2:7">
      <c r="B23" s="3" t="s">
        <v>1</v>
      </c>
      <c r="C23" s="4" t="s">
        <v>73</v>
      </c>
    </row>
    <row r="24" spans="2:7">
      <c r="B24" s="3" t="s">
        <v>1</v>
      </c>
      <c r="C24" s="4" t="s">
        <v>74</v>
      </c>
    </row>
    <row r="26" spans="2:7">
      <c r="B26" s="4" t="s">
        <v>17</v>
      </c>
    </row>
    <row r="28" spans="2:7">
      <c r="B28" s="4" t="s">
        <v>18</v>
      </c>
      <c r="C28" s="4" t="s">
        <v>663</v>
      </c>
    </row>
  </sheetData>
  <sheetProtection algorithmName="SHA-512" hashValue="ysbenGoayloOw7jQVq7I2AkTRi5VqSBeswlkrCNvBnO8Ylr0GfqX3KWbQsP0FZJ/nxOXy+LRwGPio4hGnW/uew==" saltValue="vGOcOwCjBWgXokFn97fLwQ==" spinCount="100000" sheet="1" objects="1" scenarios="1"/>
  <mergeCells count="1">
    <mergeCell ref="B1:J1"/>
  </mergeCells>
  <pageMargins left="0.7" right="0.7" top="0.75" bottom="0.75" header="0.3" footer="0.3"/>
  <pageSetup paperSize="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B128E-3E31-2145-B908-6C40A6D8C3A9}">
  <sheetPr codeName="Blad10">
    <tabColor theme="9" tint="0.59999389629810485"/>
  </sheetPr>
  <dimension ref="B1:L53"/>
  <sheetViews>
    <sheetView topLeftCell="A39" workbookViewId="0">
      <selection activeCell="C28" sqref="C28"/>
    </sheetView>
  </sheetViews>
  <sheetFormatPr defaultColWidth="10.59765625" defaultRowHeight="15.6"/>
  <cols>
    <col min="2" max="2" width="82.3984375" customWidth="1"/>
  </cols>
  <sheetData>
    <row r="1" spans="2:12" ht="18">
      <c r="B1" s="264" t="s">
        <v>617</v>
      </c>
      <c r="C1" s="264"/>
      <c r="D1" s="264"/>
      <c r="E1" s="264"/>
      <c r="F1" s="264"/>
      <c r="G1" s="264"/>
      <c r="H1" s="264"/>
      <c r="I1" s="264"/>
      <c r="J1" s="264"/>
      <c r="K1" s="264"/>
      <c r="L1" s="264"/>
    </row>
    <row r="2" spans="2:12">
      <c r="B2" t="s">
        <v>120</v>
      </c>
    </row>
    <row r="3" spans="2:12">
      <c r="B3" s="16" t="s">
        <v>673</v>
      </c>
    </row>
    <row r="5" spans="2:12">
      <c r="B5" s="3" t="s">
        <v>189</v>
      </c>
    </row>
    <row r="6" spans="2:12">
      <c r="B6" s="3" t="s">
        <v>1</v>
      </c>
      <c r="C6" s="3">
        <v>2019</v>
      </c>
      <c r="D6" s="3">
        <v>2020</v>
      </c>
      <c r="E6" s="3">
        <v>2021</v>
      </c>
      <c r="F6" s="3">
        <v>2022</v>
      </c>
      <c r="G6" s="3">
        <v>2023</v>
      </c>
    </row>
    <row r="7" spans="2:12">
      <c r="B7" s="3" t="s">
        <v>43</v>
      </c>
      <c r="C7" s="4">
        <v>19280</v>
      </c>
      <c r="D7" s="4">
        <v>19403</v>
      </c>
      <c r="E7" s="4">
        <v>19511</v>
      </c>
      <c r="F7" s="4">
        <v>19628</v>
      </c>
      <c r="G7" s="4">
        <v>19906</v>
      </c>
    </row>
    <row r="8" spans="2:12">
      <c r="B8" s="3" t="s">
        <v>44</v>
      </c>
      <c r="C8" s="4">
        <v>18470</v>
      </c>
      <c r="D8" s="4">
        <v>18704</v>
      </c>
      <c r="E8" s="4">
        <v>18789</v>
      </c>
      <c r="F8" s="4">
        <v>19059</v>
      </c>
      <c r="G8" s="4">
        <v>18951</v>
      </c>
    </row>
    <row r="9" spans="2:12">
      <c r="B9" s="3" t="s">
        <v>46</v>
      </c>
      <c r="C9" s="4">
        <v>0</v>
      </c>
      <c r="D9" s="4">
        <v>0</v>
      </c>
      <c r="E9" s="4">
        <v>0</v>
      </c>
      <c r="F9" s="4">
        <v>0</v>
      </c>
      <c r="G9" s="4">
        <v>0</v>
      </c>
    </row>
    <row r="10" spans="2:12">
      <c r="B10" s="3" t="s">
        <v>45</v>
      </c>
      <c r="C10" s="4">
        <v>135</v>
      </c>
      <c r="D10" s="4">
        <v>194</v>
      </c>
      <c r="E10" s="4">
        <v>215</v>
      </c>
      <c r="F10" s="4">
        <v>393</v>
      </c>
      <c r="G10" s="4">
        <v>756</v>
      </c>
    </row>
    <row r="11" spans="2:12">
      <c r="B11" s="3" t="s">
        <v>47</v>
      </c>
      <c r="C11" s="4">
        <v>675</v>
      </c>
      <c r="D11" s="4">
        <v>504</v>
      </c>
      <c r="E11" s="4">
        <v>507</v>
      </c>
      <c r="F11" s="4">
        <v>177</v>
      </c>
      <c r="G11" s="4">
        <v>199</v>
      </c>
    </row>
    <row r="12" spans="2:12">
      <c r="B12" s="3" t="s">
        <v>48</v>
      </c>
      <c r="C12" s="5">
        <v>0.54800000000000004</v>
      </c>
      <c r="D12" s="5">
        <v>0.61699999999999999</v>
      </c>
      <c r="E12" s="5">
        <v>0.63100000000000001</v>
      </c>
      <c r="F12" s="5">
        <v>0.63600000000000001</v>
      </c>
      <c r="G12" s="5">
        <v>0.64900000000000002</v>
      </c>
    </row>
    <row r="13" spans="2:12">
      <c r="B13" s="3" t="s">
        <v>49</v>
      </c>
      <c r="C13" s="4">
        <v>2520</v>
      </c>
      <c r="D13" s="4">
        <v>3075</v>
      </c>
      <c r="E13" s="4">
        <v>3260</v>
      </c>
      <c r="F13" s="4">
        <v>3655</v>
      </c>
      <c r="G13" s="4">
        <v>3900</v>
      </c>
    </row>
    <row r="14" spans="2:12">
      <c r="B14" s="3" t="s">
        <v>50</v>
      </c>
      <c r="C14" s="4">
        <v>1450</v>
      </c>
      <c r="D14" s="4">
        <v>1650</v>
      </c>
      <c r="E14" s="4">
        <v>1705</v>
      </c>
      <c r="F14" s="4">
        <v>1680</v>
      </c>
      <c r="G14" s="4">
        <v>1820</v>
      </c>
    </row>
    <row r="15" spans="2:12">
      <c r="B15" s="3" t="s">
        <v>51</v>
      </c>
      <c r="C15" s="4">
        <v>3100</v>
      </c>
      <c r="D15" s="4">
        <v>3415</v>
      </c>
      <c r="E15" s="4">
        <v>3535</v>
      </c>
      <c r="F15" s="4">
        <v>3760</v>
      </c>
      <c r="G15" s="4">
        <v>3825</v>
      </c>
    </row>
    <row r="16" spans="2:12">
      <c r="B16" s="3" t="s">
        <v>52</v>
      </c>
      <c r="C16" s="4">
        <v>1630</v>
      </c>
      <c r="D16" s="4">
        <v>1740</v>
      </c>
      <c r="E16" s="4">
        <v>1580</v>
      </c>
      <c r="F16" s="4">
        <v>1255</v>
      </c>
      <c r="G16" s="4">
        <v>1465</v>
      </c>
    </row>
    <row r="17" spans="2:7">
      <c r="B17" s="3" t="s">
        <v>53</v>
      </c>
      <c r="C17" s="4">
        <v>1115</v>
      </c>
      <c r="D17" s="4">
        <v>1210</v>
      </c>
      <c r="E17" s="4">
        <v>1195</v>
      </c>
      <c r="F17" s="4">
        <v>1005</v>
      </c>
      <c r="G17" s="4">
        <v>850</v>
      </c>
    </row>
    <row r="18" spans="2:7">
      <c r="B18" s="3" t="s">
        <v>54</v>
      </c>
      <c r="C18" s="4">
        <v>460</v>
      </c>
      <c r="D18" s="4">
        <v>500</v>
      </c>
      <c r="E18" s="4">
        <v>590</v>
      </c>
      <c r="F18" s="4">
        <v>560</v>
      </c>
      <c r="G18" s="4">
        <v>555</v>
      </c>
    </row>
    <row r="19" spans="2:7">
      <c r="B19" s="3" t="s">
        <v>55</v>
      </c>
      <c r="C19" s="4">
        <v>355</v>
      </c>
      <c r="D19" s="4">
        <v>450</v>
      </c>
      <c r="E19" s="4">
        <v>530</v>
      </c>
      <c r="F19" s="4">
        <v>580</v>
      </c>
      <c r="G19" s="4">
        <v>580</v>
      </c>
    </row>
    <row r="21" spans="2:7">
      <c r="B21" s="4" t="s">
        <v>12</v>
      </c>
      <c r="C21" s="4" t="s">
        <v>56</v>
      </c>
    </row>
    <row r="22" spans="2:7">
      <c r="B22" s="3" t="s">
        <v>1</v>
      </c>
      <c r="C22" s="4" t="s">
        <v>57</v>
      </c>
    </row>
    <row r="23" spans="2:7">
      <c r="B23" s="3" t="s">
        <v>1</v>
      </c>
      <c r="C23" s="4" t="s">
        <v>60</v>
      </c>
    </row>
    <row r="24" spans="2:7">
      <c r="B24" s="3" t="s">
        <v>1</v>
      </c>
      <c r="C24" s="4" t="s">
        <v>59</v>
      </c>
    </row>
    <row r="26" spans="2:7">
      <c r="B26" s="4" t="s">
        <v>17</v>
      </c>
    </row>
    <row r="28" spans="2:7">
      <c r="B28" s="4" t="s">
        <v>18</v>
      </c>
      <c r="C28" s="4" t="s">
        <v>663</v>
      </c>
    </row>
    <row r="33" spans="2:7">
      <c r="B33" t="s">
        <v>12</v>
      </c>
    </row>
    <row r="34" spans="2:7">
      <c r="B34" s="16" t="s">
        <v>203</v>
      </c>
    </row>
    <row r="35" spans="2:7">
      <c r="B35" s="3" t="s">
        <v>196</v>
      </c>
    </row>
    <row r="36" spans="2:7">
      <c r="B36" s="3" t="s">
        <v>1</v>
      </c>
      <c r="C36" s="3">
        <v>2019</v>
      </c>
      <c r="D36" s="3">
        <v>2020</v>
      </c>
      <c r="E36" s="3">
        <v>2021</v>
      </c>
      <c r="F36" s="3">
        <v>2022</v>
      </c>
      <c r="G36" s="3">
        <v>2023</v>
      </c>
    </row>
    <row r="37" spans="2:7">
      <c r="B37" s="3" t="s">
        <v>197</v>
      </c>
      <c r="C37" s="4">
        <v>544</v>
      </c>
      <c r="D37" s="4">
        <v>601</v>
      </c>
      <c r="E37" s="4">
        <v>579</v>
      </c>
      <c r="F37" s="4" t="s">
        <v>75</v>
      </c>
      <c r="G37" s="4" t="s">
        <v>75</v>
      </c>
    </row>
    <row r="38" spans="2:7">
      <c r="B38" s="3" t="s">
        <v>198</v>
      </c>
      <c r="C38" s="4">
        <v>245.8</v>
      </c>
      <c r="D38" s="4">
        <v>235.1</v>
      </c>
      <c r="E38" s="220">
        <v>235.3</v>
      </c>
      <c r="F38" s="220">
        <f>AVERAGE(E38,G38)</f>
        <v>225.8</v>
      </c>
      <c r="G38" s="220">
        <v>216.3</v>
      </c>
    </row>
    <row r="40" spans="2:7">
      <c r="B40" s="4" t="s">
        <v>8</v>
      </c>
      <c r="C40" s="41" t="s">
        <v>199</v>
      </c>
    </row>
    <row r="41" spans="2:7">
      <c r="B41" s="4" t="s">
        <v>10</v>
      </c>
      <c r="C41" s="4" t="s">
        <v>200</v>
      </c>
    </row>
    <row r="42" spans="2:7">
      <c r="B42" s="4" t="s">
        <v>12</v>
      </c>
      <c r="C42" s="4" t="s">
        <v>201</v>
      </c>
    </row>
    <row r="44" spans="2:7">
      <c r="B44" s="4" t="s">
        <v>202</v>
      </c>
    </row>
    <row r="46" spans="2:7">
      <c r="B46" s="4" t="s">
        <v>18</v>
      </c>
      <c r="C46" s="4" t="s">
        <v>663</v>
      </c>
    </row>
    <row r="49" spans="2:8">
      <c r="B49" t="s">
        <v>89</v>
      </c>
    </row>
    <row r="50" spans="2:8">
      <c r="B50" t="s">
        <v>599</v>
      </c>
    </row>
    <row r="51" spans="2:8">
      <c r="C51" s="148">
        <v>2019</v>
      </c>
      <c r="D51" s="148">
        <v>2020</v>
      </c>
      <c r="E51" s="148">
        <v>2021</v>
      </c>
      <c r="F51" s="148">
        <v>2022</v>
      </c>
      <c r="G51" s="148">
        <v>2023</v>
      </c>
      <c r="H51" s="148">
        <v>2024</v>
      </c>
    </row>
    <row r="52" spans="2:8">
      <c r="B52" s="149" t="s">
        <v>600</v>
      </c>
      <c r="C52" s="150">
        <v>42</v>
      </c>
      <c r="D52" s="150">
        <v>61</v>
      </c>
      <c r="E52" s="150">
        <v>37</v>
      </c>
      <c r="F52" s="150">
        <v>56</v>
      </c>
      <c r="G52" s="150">
        <v>62</v>
      </c>
      <c r="H52" s="150">
        <v>86</v>
      </c>
    </row>
    <row r="53" spans="2:8">
      <c r="B53" s="147"/>
    </row>
  </sheetData>
  <sheetProtection algorithmName="SHA-512" hashValue="2jIU/jIZsqIQ2pQ3NtpaXuxrpnB46jBGS9Dle4aKeWSyvLPqfiKuRpUINXCkD18AKLsgt0pwCUBimUCakSgLAw==" saltValue="YFuNn39q53CpWdVAkUu+jA==" spinCount="100000" sheet="1" objects="1" scenarios="1"/>
  <mergeCells count="1">
    <mergeCell ref="B1:L1"/>
  </mergeCells>
  <hyperlinks>
    <hyperlink ref="B34" r:id="rId1" xr:uid="{681CDA21-D05C-6049-B5F9-18D0102F02BC}"/>
  </hyperlink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FDB0-5806-C647-A172-E912856B8734}">
  <sheetPr codeName="Blad11">
    <tabColor theme="9" tint="0.59999389629810485"/>
  </sheetPr>
  <dimension ref="A1:L48"/>
  <sheetViews>
    <sheetView topLeftCell="B1" zoomScale="113" workbookViewId="0">
      <selection activeCell="H44" sqref="H44"/>
    </sheetView>
  </sheetViews>
  <sheetFormatPr defaultColWidth="10.59765625" defaultRowHeight="15.6"/>
  <cols>
    <col min="1" max="1" width="0" hidden="1" customWidth="1"/>
    <col min="2" max="2" width="11.09765625" customWidth="1"/>
    <col min="3" max="3" width="75.8984375" customWidth="1"/>
    <col min="4" max="11" width="11.59765625" bestFit="1" customWidth="1"/>
    <col min="12" max="12" width="33.8984375" customWidth="1"/>
  </cols>
  <sheetData>
    <row r="1" spans="1:11" ht="18">
      <c r="C1" s="265" t="s">
        <v>132</v>
      </c>
      <c r="D1" s="265"/>
      <c r="E1" s="265"/>
      <c r="F1" s="265"/>
      <c r="G1" s="265"/>
      <c r="H1" s="265"/>
      <c r="I1" s="265"/>
      <c r="J1" s="265"/>
      <c r="K1" s="265"/>
    </row>
    <row r="3" spans="1:11">
      <c r="C3" s="2" t="s">
        <v>86</v>
      </c>
      <c r="D3" s="1"/>
      <c r="E3" s="1"/>
      <c r="F3" s="1"/>
      <c r="G3" s="1"/>
      <c r="H3" s="1"/>
      <c r="I3" s="1"/>
      <c r="J3" s="1"/>
      <c r="K3" s="1"/>
    </row>
    <row r="4" spans="1:11">
      <c r="C4" t="s">
        <v>89</v>
      </c>
    </row>
    <row r="5" spans="1:11">
      <c r="C5" s="16" t="s">
        <v>110</v>
      </c>
    </row>
    <row r="6" spans="1:11">
      <c r="C6" s="6" t="s">
        <v>107</v>
      </c>
      <c r="D6" s="7"/>
      <c r="E6" s="7"/>
      <c r="F6" s="7"/>
      <c r="G6" s="7"/>
      <c r="H6" s="7"/>
    </row>
    <row r="7" spans="1:11">
      <c r="C7" s="8"/>
      <c r="D7" s="6">
        <v>2019</v>
      </c>
      <c r="E7" s="6">
        <v>2020</v>
      </c>
      <c r="F7" s="6">
        <v>2021</v>
      </c>
      <c r="G7" s="6">
        <v>2022</v>
      </c>
      <c r="H7" s="222">
        <v>2023</v>
      </c>
    </row>
    <row r="8" spans="1:11">
      <c r="C8" s="8" t="s">
        <v>108</v>
      </c>
      <c r="D8" s="9">
        <v>16</v>
      </c>
      <c r="E8" s="9">
        <v>16</v>
      </c>
      <c r="F8" s="9">
        <v>16</v>
      </c>
      <c r="G8" s="9">
        <v>16</v>
      </c>
    </row>
    <row r="9" spans="1:11">
      <c r="A9" t="s">
        <v>126</v>
      </c>
      <c r="C9" s="8" t="s">
        <v>78</v>
      </c>
      <c r="D9" s="9">
        <v>0.5</v>
      </c>
      <c r="E9" s="9">
        <v>0.5</v>
      </c>
      <c r="F9" s="9">
        <v>0.5</v>
      </c>
      <c r="G9" s="9">
        <v>0.5</v>
      </c>
    </row>
    <row r="10" spans="1:11">
      <c r="A10" t="s">
        <v>127</v>
      </c>
      <c r="C10" s="8" t="s">
        <v>79</v>
      </c>
      <c r="D10" s="9">
        <v>1.6</v>
      </c>
      <c r="E10" s="9">
        <v>1.5</v>
      </c>
      <c r="F10" s="9">
        <v>1.6</v>
      </c>
      <c r="G10" s="9">
        <v>1.4</v>
      </c>
    </row>
    <row r="11" spans="1:11">
      <c r="A11" t="s">
        <v>126</v>
      </c>
      <c r="C11" s="8" t="s">
        <v>80</v>
      </c>
      <c r="D11" s="9">
        <v>10.6</v>
      </c>
      <c r="E11" s="9">
        <v>10.9</v>
      </c>
      <c r="F11" s="9">
        <v>11</v>
      </c>
      <c r="G11" s="9">
        <v>10.5</v>
      </c>
    </row>
    <row r="12" spans="1:11">
      <c r="A12" t="s">
        <v>128</v>
      </c>
      <c r="C12" s="8" t="s">
        <v>81</v>
      </c>
      <c r="D12" s="9">
        <v>1.5</v>
      </c>
      <c r="E12" s="9">
        <v>1.4</v>
      </c>
      <c r="F12" s="9">
        <v>1.4</v>
      </c>
      <c r="G12" s="9">
        <v>1.4</v>
      </c>
    </row>
    <row r="13" spans="1:11">
      <c r="A13" t="s">
        <v>129</v>
      </c>
      <c r="C13" s="8" t="s">
        <v>82</v>
      </c>
      <c r="D13" s="9">
        <v>0.9</v>
      </c>
      <c r="E13" s="9">
        <v>1</v>
      </c>
      <c r="F13" s="9">
        <v>1.1000000000000001</v>
      </c>
      <c r="G13" s="9">
        <v>1.4</v>
      </c>
    </row>
    <row r="14" spans="1:11">
      <c r="A14" t="s">
        <v>129</v>
      </c>
      <c r="C14" s="8" t="s">
        <v>83</v>
      </c>
      <c r="D14" s="9">
        <v>0.3</v>
      </c>
      <c r="E14" s="9">
        <v>0.3</v>
      </c>
      <c r="F14" s="9">
        <v>0.4</v>
      </c>
      <c r="G14" s="9">
        <v>0.4</v>
      </c>
    </row>
    <row r="15" spans="1:11">
      <c r="C15" s="8" t="s">
        <v>109</v>
      </c>
      <c r="D15" s="9">
        <v>0</v>
      </c>
      <c r="E15" s="9">
        <v>0</v>
      </c>
      <c r="F15" s="9">
        <v>0</v>
      </c>
      <c r="G15" s="9">
        <v>0</v>
      </c>
    </row>
    <row r="16" spans="1:11">
      <c r="C16" s="7"/>
      <c r="D16" s="7"/>
      <c r="E16" s="7"/>
      <c r="F16" s="7"/>
      <c r="G16" s="7"/>
      <c r="H16" s="7"/>
    </row>
    <row r="17" spans="3:12">
      <c r="C17" s="10" t="s">
        <v>10</v>
      </c>
      <c r="D17" s="11" t="s">
        <v>84</v>
      </c>
      <c r="E17" s="7"/>
      <c r="F17" s="7"/>
      <c r="G17" s="7"/>
      <c r="H17" s="7"/>
    </row>
    <row r="18" spans="3:12">
      <c r="C18" s="12" t="s">
        <v>12</v>
      </c>
      <c r="D18" s="9" t="s">
        <v>85</v>
      </c>
      <c r="E18" s="7"/>
      <c r="F18" s="7"/>
      <c r="G18" s="7"/>
      <c r="H18" s="7"/>
    </row>
    <row r="19" spans="3:12">
      <c r="C19" s="7"/>
      <c r="D19" s="7"/>
      <c r="E19" s="7"/>
      <c r="F19" s="7"/>
      <c r="G19" s="7"/>
      <c r="H19" s="7"/>
    </row>
    <row r="20" spans="3:12">
      <c r="C20" s="10" t="s">
        <v>17</v>
      </c>
      <c r="D20" s="7"/>
      <c r="E20" s="7"/>
      <c r="F20" s="7"/>
      <c r="G20" s="7"/>
      <c r="H20" s="7"/>
    </row>
    <row r="21" spans="3:12">
      <c r="C21" s="7"/>
      <c r="D21" s="7"/>
      <c r="E21" s="7"/>
      <c r="F21" s="7"/>
      <c r="G21" s="7"/>
      <c r="H21" s="7"/>
    </row>
    <row r="22" spans="3:12">
      <c r="C22" s="10" t="s">
        <v>18</v>
      </c>
      <c r="D22" s="9" t="s">
        <v>663</v>
      </c>
      <c r="E22" s="7"/>
      <c r="F22" s="7"/>
      <c r="G22" s="7"/>
      <c r="H22" s="7"/>
    </row>
    <row r="24" spans="3:12">
      <c r="C24" s="221" t="s">
        <v>674</v>
      </c>
    </row>
    <row r="25" spans="3:12" hidden="1">
      <c r="C25" s="2" t="s">
        <v>111</v>
      </c>
      <c r="D25" s="1"/>
      <c r="E25" s="1"/>
      <c r="F25" s="1"/>
      <c r="G25" s="1"/>
      <c r="H25" s="1"/>
      <c r="I25" s="1"/>
      <c r="J25" s="1"/>
      <c r="K25" s="1"/>
    </row>
    <row r="26" spans="3:12" hidden="1">
      <c r="C26" t="s">
        <v>12</v>
      </c>
    </row>
    <row r="27" spans="3:12" hidden="1">
      <c r="C27" t="s">
        <v>112</v>
      </c>
    </row>
    <row r="28" spans="3:12" hidden="1">
      <c r="C28" s="3" t="s">
        <v>107</v>
      </c>
    </row>
    <row r="29" spans="3:12" hidden="1">
      <c r="C29" s="3" t="s">
        <v>1</v>
      </c>
      <c r="D29" s="3">
        <v>2015</v>
      </c>
      <c r="E29" s="3">
        <v>2016</v>
      </c>
      <c r="F29" s="3">
        <v>2017</v>
      </c>
      <c r="G29" s="3">
        <v>2018</v>
      </c>
      <c r="H29" s="3">
        <v>2019</v>
      </c>
      <c r="I29" s="3">
        <v>2020</v>
      </c>
      <c r="J29" s="3">
        <v>2021</v>
      </c>
      <c r="K29" s="3">
        <v>2022</v>
      </c>
    </row>
    <row r="30" spans="3:12" hidden="1">
      <c r="C30" s="3" t="s">
        <v>113</v>
      </c>
      <c r="D30" s="4">
        <v>18</v>
      </c>
      <c r="E30" s="14">
        <v>18</v>
      </c>
      <c r="F30" s="14">
        <v>18</v>
      </c>
      <c r="G30" s="14">
        <v>18</v>
      </c>
      <c r="H30" s="4">
        <v>16</v>
      </c>
      <c r="I30" s="4">
        <v>16</v>
      </c>
      <c r="J30" s="4">
        <v>16</v>
      </c>
      <c r="K30" s="4">
        <v>16</v>
      </c>
    </row>
    <row r="31" spans="3:12" hidden="1">
      <c r="C31" s="3" t="s">
        <v>114</v>
      </c>
      <c r="D31" s="4">
        <v>12.2</v>
      </c>
      <c r="E31" s="14">
        <v>12.2</v>
      </c>
      <c r="F31" s="14">
        <v>12.2</v>
      </c>
      <c r="G31" s="14">
        <v>12.2</v>
      </c>
      <c r="H31" s="4">
        <v>10.6</v>
      </c>
      <c r="I31" s="4">
        <v>10.9</v>
      </c>
      <c r="J31" s="4">
        <v>11</v>
      </c>
      <c r="K31" s="4">
        <v>10.5</v>
      </c>
    </row>
    <row r="32" spans="3:12" ht="62.4" hidden="1">
      <c r="C32" s="3" t="s">
        <v>115</v>
      </c>
      <c r="D32" s="4">
        <v>3954</v>
      </c>
      <c r="E32" s="14">
        <f>($D$32+$H$32)/2</f>
        <v>5862</v>
      </c>
      <c r="F32" s="14">
        <f t="shared" ref="F32:G32" si="0">($D$32+$H$32)/2</f>
        <v>5862</v>
      </c>
      <c r="G32" s="14">
        <f t="shared" si="0"/>
        <v>5862</v>
      </c>
      <c r="H32" s="4">
        <v>7770</v>
      </c>
      <c r="I32" s="4">
        <v>8003</v>
      </c>
      <c r="J32" s="4">
        <v>8218</v>
      </c>
      <c r="K32" s="4">
        <v>7658</v>
      </c>
      <c r="L32" s="18" t="s">
        <v>125</v>
      </c>
    </row>
    <row r="33" spans="3:11" hidden="1">
      <c r="C33" s="3" t="s">
        <v>116</v>
      </c>
      <c r="D33" s="4">
        <v>6765</v>
      </c>
      <c r="E33" s="14">
        <f>($D$33+$H$33)/2</f>
        <v>3906.5</v>
      </c>
      <c r="F33" s="14">
        <f t="shared" ref="F33:G33" si="1">($D$33+$H$33)/2</f>
        <v>3906.5</v>
      </c>
      <c r="G33" s="14">
        <f t="shared" si="1"/>
        <v>3906.5</v>
      </c>
      <c r="H33" s="4">
        <v>1048</v>
      </c>
      <c r="I33" s="4">
        <v>1136</v>
      </c>
      <c r="J33" s="4">
        <v>1050</v>
      </c>
      <c r="K33" s="4">
        <v>1158</v>
      </c>
    </row>
    <row r="34" spans="3:11" hidden="1">
      <c r="C34" s="3" t="s">
        <v>117</v>
      </c>
      <c r="D34" s="4">
        <v>1485</v>
      </c>
      <c r="E34" s="14">
        <v>1485</v>
      </c>
      <c r="F34" s="14">
        <v>1485</v>
      </c>
      <c r="G34" s="14">
        <v>1485</v>
      </c>
      <c r="H34" s="4">
        <v>1813</v>
      </c>
      <c r="I34" s="4">
        <v>1792</v>
      </c>
      <c r="J34" s="4">
        <v>1722</v>
      </c>
      <c r="K34" s="4">
        <v>1708</v>
      </c>
    </row>
    <row r="35" spans="3:11" hidden="1"/>
    <row r="36" spans="3:11" hidden="1">
      <c r="C36" s="4" t="s">
        <v>12</v>
      </c>
      <c r="D36" s="4" t="s">
        <v>85</v>
      </c>
    </row>
    <row r="37" spans="3:11" hidden="1"/>
    <row r="38" spans="3:11" hidden="1">
      <c r="C38" s="4" t="s">
        <v>17</v>
      </c>
    </row>
    <row r="39" spans="3:11" hidden="1"/>
    <row r="40" spans="3:11" hidden="1">
      <c r="C40" s="4" t="s">
        <v>18</v>
      </c>
      <c r="D40" s="4" t="s">
        <v>87</v>
      </c>
    </row>
    <row r="41" spans="3:11" hidden="1"/>
    <row r="48" spans="3:11">
      <c r="K48" s="22"/>
    </row>
  </sheetData>
  <sheetProtection algorithmName="SHA-512" hashValue="QgkcYDMYW8cGl/3kl5lXTYV5ApRjsM336mfFBTOTnsmrIYJESm0ZqiPgvi+AwwT7rJWw4MLs6djIZnnIZ/oPyA==" saltValue="3M2Uxane2VeK20Fy/4oDFA==" spinCount="100000" sheet="1" objects="1" scenarios="1"/>
  <mergeCells count="1">
    <mergeCell ref="C1:K1"/>
  </mergeCells>
  <hyperlinks>
    <hyperlink ref="C5" r:id="rId1" xr:uid="{FFA4668A-5657-3B48-B070-BAE0FD290E31}"/>
  </hyperlinks>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6270-921D-4A49-B335-CACE0224BF4A}">
  <sheetPr codeName="Blad12">
    <tabColor theme="8" tint="0.59999389629810485"/>
  </sheetPr>
  <dimension ref="B1:BF52"/>
  <sheetViews>
    <sheetView topLeftCell="A13" zoomScaleNormal="156" workbookViewId="0">
      <selection activeCell="K55" sqref="K55"/>
    </sheetView>
  </sheetViews>
  <sheetFormatPr defaultColWidth="10.59765625" defaultRowHeight="15.6"/>
  <cols>
    <col min="2" max="2" width="52.8984375" customWidth="1"/>
    <col min="3" max="3" width="11.59765625" bestFit="1" customWidth="1"/>
    <col min="4" max="4" width="9.09765625" customWidth="1"/>
  </cols>
  <sheetData>
    <row r="1" spans="2:58" ht="18">
      <c r="B1" s="266" t="s">
        <v>598</v>
      </c>
      <c r="C1" s="266"/>
      <c r="D1" s="266"/>
      <c r="E1" s="266"/>
      <c r="F1" s="266"/>
      <c r="G1" s="266"/>
      <c r="H1" s="266"/>
      <c r="I1" s="266"/>
    </row>
    <row r="2" spans="2:58" ht="21">
      <c r="B2" s="78"/>
    </row>
    <row r="3" spans="2:58">
      <c r="B3" t="s">
        <v>536</v>
      </c>
    </row>
    <row r="4" spans="2:58">
      <c r="B4" s="193">
        <v>45679</v>
      </c>
    </row>
    <row r="6" spans="2:58" ht="18" customHeight="1" thickBot="1">
      <c r="B6" s="79" t="s">
        <v>217</v>
      </c>
      <c r="C6" s="79" t="s">
        <v>218</v>
      </c>
      <c r="D6" s="79" t="s">
        <v>219</v>
      </c>
      <c r="E6" s="79" t="s">
        <v>220</v>
      </c>
      <c r="F6" s="79" t="s">
        <v>221</v>
      </c>
      <c r="G6" s="79" t="s">
        <v>222</v>
      </c>
      <c r="H6" s="79" t="s">
        <v>223</v>
      </c>
      <c r="I6" s="79" t="s">
        <v>224</v>
      </c>
      <c r="J6" s="79" t="s">
        <v>225</v>
      </c>
      <c r="K6" s="79" t="s">
        <v>226</v>
      </c>
      <c r="L6" s="79" t="s">
        <v>227</v>
      </c>
      <c r="M6" s="79" t="s">
        <v>228</v>
      </c>
      <c r="N6" s="79" t="s">
        <v>229</v>
      </c>
      <c r="O6" s="79" t="s">
        <v>230</v>
      </c>
      <c r="P6" s="79" t="s">
        <v>231</v>
      </c>
      <c r="Q6" s="79" t="s">
        <v>232</v>
      </c>
      <c r="R6" s="79" t="s">
        <v>233</v>
      </c>
      <c r="S6" s="79" t="s">
        <v>234</v>
      </c>
      <c r="T6" s="79" t="s">
        <v>235</v>
      </c>
      <c r="U6" s="79" t="s">
        <v>236</v>
      </c>
      <c r="V6" s="79" t="s">
        <v>237</v>
      </c>
      <c r="W6" s="79" t="s">
        <v>238</v>
      </c>
      <c r="X6" s="79" t="s">
        <v>239</v>
      </c>
      <c r="Y6" s="79" t="s">
        <v>240</v>
      </c>
      <c r="Z6" s="79" t="s">
        <v>241</v>
      </c>
      <c r="AA6" s="79" t="s">
        <v>242</v>
      </c>
      <c r="AB6" s="79" t="s">
        <v>243</v>
      </c>
      <c r="AC6" s="79" t="s">
        <v>244</v>
      </c>
      <c r="AD6" s="79" t="s">
        <v>245</v>
      </c>
      <c r="AE6" s="79" t="s">
        <v>246</v>
      </c>
      <c r="AF6" s="79" t="s">
        <v>247</v>
      </c>
      <c r="AG6" s="79" t="s">
        <v>248</v>
      </c>
      <c r="AH6" s="79" t="s">
        <v>249</v>
      </c>
      <c r="AI6" s="79" t="s">
        <v>250</v>
      </c>
      <c r="AJ6" s="79" t="s">
        <v>251</v>
      </c>
      <c r="AK6" s="79" t="s">
        <v>252</v>
      </c>
      <c r="AL6" s="79" t="s">
        <v>253</v>
      </c>
      <c r="AM6" s="79" t="s">
        <v>254</v>
      </c>
      <c r="AN6" s="79" t="s">
        <v>255</v>
      </c>
      <c r="AO6" s="79" t="s">
        <v>256</v>
      </c>
      <c r="AP6" s="79" t="s">
        <v>257</v>
      </c>
      <c r="AQ6" s="79" t="s">
        <v>258</v>
      </c>
      <c r="AR6" s="79" t="s">
        <v>259</v>
      </c>
      <c r="AS6" s="79" t="s">
        <v>260</v>
      </c>
      <c r="AT6" s="79" t="s">
        <v>261</v>
      </c>
      <c r="AU6" s="79" t="s">
        <v>262</v>
      </c>
      <c r="AV6" s="79" t="s">
        <v>263</v>
      </c>
      <c r="AW6" s="79" t="s">
        <v>264</v>
      </c>
      <c r="AX6" s="79" t="s">
        <v>265</v>
      </c>
      <c r="AY6" s="79" t="s">
        <v>266</v>
      </c>
      <c r="AZ6" s="79" t="s">
        <v>267</v>
      </c>
      <c r="BA6" s="79" t="s">
        <v>268</v>
      </c>
      <c r="BB6" s="79" t="s">
        <v>269</v>
      </c>
      <c r="BC6" s="79" t="s">
        <v>270</v>
      </c>
      <c r="BD6" s="79" t="s">
        <v>271</v>
      </c>
      <c r="BE6" s="79" t="s">
        <v>272</v>
      </c>
      <c r="BF6" s="79" t="s">
        <v>273</v>
      </c>
    </row>
    <row r="7" spans="2:58">
      <c r="B7">
        <v>110</v>
      </c>
      <c r="C7" t="s">
        <v>274</v>
      </c>
      <c r="D7" t="s">
        <v>275</v>
      </c>
      <c r="E7" t="s">
        <v>276</v>
      </c>
      <c r="F7" t="s">
        <v>277</v>
      </c>
      <c r="G7">
        <v>3096</v>
      </c>
      <c r="H7">
        <v>440</v>
      </c>
      <c r="I7" t="s">
        <v>278</v>
      </c>
      <c r="J7" s="169" t="s">
        <v>279</v>
      </c>
      <c r="K7" s="169" t="s">
        <v>280</v>
      </c>
      <c r="L7">
        <v>18.7</v>
      </c>
      <c r="M7" t="s">
        <v>281</v>
      </c>
      <c r="N7" t="s">
        <v>282</v>
      </c>
      <c r="O7" t="s">
        <v>283</v>
      </c>
      <c r="P7">
        <v>0</v>
      </c>
      <c r="Q7">
        <v>0</v>
      </c>
      <c r="R7">
        <v>22.4010582011</v>
      </c>
      <c r="S7">
        <v>8.5798225847856475</v>
      </c>
      <c r="T7">
        <v>5.5107105165578023</v>
      </c>
      <c r="U7">
        <v>3.1775007843920249</v>
      </c>
      <c r="V7">
        <v>1.2607319090675719</v>
      </c>
      <c r="W7">
        <v>0.13976439715907471</v>
      </c>
      <c r="X7">
        <v>0.81331469808037882</v>
      </c>
      <c r="Y7">
        <v>3</v>
      </c>
      <c r="Z7">
        <v>1.77587503194809</v>
      </c>
      <c r="AA7">
        <v>1.8344999989494681E-2</v>
      </c>
      <c r="AB7">
        <v>23.63298828274446</v>
      </c>
      <c r="AC7" t="s">
        <v>284</v>
      </c>
      <c r="AD7">
        <v>3.5345646899096921</v>
      </c>
      <c r="AE7">
        <v>142139.709999999</v>
      </c>
      <c r="AF7">
        <v>142140</v>
      </c>
      <c r="AG7">
        <v>16.084681754310701</v>
      </c>
      <c r="AH7">
        <v>56.121443647108492</v>
      </c>
      <c r="AI7">
        <v>14.683917264668571</v>
      </c>
      <c r="AJ7">
        <v>25.269909947938579</v>
      </c>
      <c r="AK7">
        <v>3.9139017869705919</v>
      </c>
      <c r="AL7">
        <v>0</v>
      </c>
      <c r="AM7">
        <v>0</v>
      </c>
      <c r="AN7">
        <v>1.0623329112142961E-2</v>
      </c>
      <c r="AO7">
        <v>9.0875107275800051</v>
      </c>
      <c r="AP7">
        <v>17.03503352470609</v>
      </c>
      <c r="AQ7">
        <v>73.87745574771391</v>
      </c>
      <c r="AR7">
        <v>1.5901899795512811</v>
      </c>
      <c r="AS7">
        <v>5.3470437510660158</v>
      </c>
      <c r="AT7">
        <v>93.062766269382706</v>
      </c>
      <c r="AU7">
        <v>10.3454833276359</v>
      </c>
      <c r="AV7">
        <v>5.7391984266747142</v>
      </c>
      <c r="AW7">
        <v>80.380753555779719</v>
      </c>
      <c r="AX7">
        <v>3.534564689909673</v>
      </c>
      <c r="AY7">
        <v>1530.558292299205</v>
      </c>
      <c r="AZ7">
        <v>142107.6208755121</v>
      </c>
      <c r="BA7">
        <v>1.4068655036578501E-4</v>
      </c>
      <c r="BB7">
        <v>5.444569499155881E-2</v>
      </c>
      <c r="BC7">
        <v>8.3398987056837362E-2</v>
      </c>
      <c r="BD7">
        <v>0.57507034327518292</v>
      </c>
      <c r="BE7">
        <v>0</v>
      </c>
      <c r="BF7">
        <v>0.28694428812605521</v>
      </c>
    </row>
    <row r="8" spans="2:58">
      <c r="B8">
        <v>214</v>
      </c>
      <c r="C8" t="s">
        <v>285</v>
      </c>
      <c r="D8" t="s">
        <v>286</v>
      </c>
      <c r="E8" t="s">
        <v>276</v>
      </c>
      <c r="F8" t="s">
        <v>277</v>
      </c>
      <c r="G8">
        <v>3537</v>
      </c>
      <c r="H8">
        <v>1665</v>
      </c>
      <c r="I8" t="s">
        <v>287</v>
      </c>
      <c r="J8" s="169" t="s">
        <v>288</v>
      </c>
      <c r="K8" s="169" t="s">
        <v>289</v>
      </c>
      <c r="L8">
        <v>20.9</v>
      </c>
      <c r="M8" t="s">
        <v>290</v>
      </c>
      <c r="N8" t="s">
        <v>291</v>
      </c>
      <c r="O8" t="s">
        <v>292</v>
      </c>
      <c r="P8">
        <v>0</v>
      </c>
      <c r="Q8">
        <v>0</v>
      </c>
      <c r="R8">
        <v>2.5468590831900002</v>
      </c>
      <c r="S8">
        <v>12.81468079607134</v>
      </c>
      <c r="T8">
        <v>5.9894891014043248</v>
      </c>
      <c r="U8">
        <v>3.0317911605065908</v>
      </c>
      <c r="V8">
        <v>1.6343585767209441</v>
      </c>
      <c r="W8">
        <v>0.40320496252261567</v>
      </c>
      <c r="X8">
        <v>0.76126475402774185</v>
      </c>
      <c r="Y8">
        <v>8</v>
      </c>
      <c r="Z8">
        <v>1.748829977852957</v>
      </c>
      <c r="AA8">
        <v>3.3131428994238377E-2</v>
      </c>
      <c r="AB8">
        <v>33.051569687383257</v>
      </c>
      <c r="AC8" t="s">
        <v>293</v>
      </c>
      <c r="AD8">
        <v>2.0496411010399238</v>
      </c>
      <c r="AE8">
        <v>467612.109999999</v>
      </c>
      <c r="AF8">
        <v>467612</v>
      </c>
      <c r="AG8">
        <v>25.489523785002099</v>
      </c>
      <c r="AH8">
        <v>21.739245357262</v>
      </c>
      <c r="AI8">
        <v>41.219299333635362</v>
      </c>
      <c r="AJ8">
        <v>10.54903424206393</v>
      </c>
      <c r="AK8">
        <v>2.320684670196659</v>
      </c>
      <c r="AL8">
        <v>0</v>
      </c>
      <c r="AM8">
        <v>24.171759920617731</v>
      </c>
      <c r="AN8">
        <v>0</v>
      </c>
      <c r="AO8">
        <v>16.468662581423459</v>
      </c>
      <c r="AP8">
        <v>27.403211893210418</v>
      </c>
      <c r="AQ8">
        <v>56.128125525366123</v>
      </c>
      <c r="AR8">
        <v>8.8913100322496295</v>
      </c>
      <c r="AS8">
        <v>16.621757916101149</v>
      </c>
      <c r="AT8">
        <v>74.486932051649205</v>
      </c>
      <c r="AU8">
        <v>16.20953991566941</v>
      </c>
      <c r="AV8">
        <v>9.2799844144323913</v>
      </c>
      <c r="AW8">
        <v>72.4608345250262</v>
      </c>
      <c r="AX8">
        <v>2.0496411448720009</v>
      </c>
      <c r="AY8">
        <v>2871.7223908463111</v>
      </c>
      <c r="AZ8">
        <v>470460.35489107732</v>
      </c>
      <c r="BA8">
        <v>6.3751115644523784E-4</v>
      </c>
      <c r="BB8">
        <v>0.1081473925793701</v>
      </c>
      <c r="BC8">
        <v>0.1098474223298908</v>
      </c>
      <c r="BD8">
        <v>0.60257554507203881</v>
      </c>
      <c r="BE8">
        <v>0</v>
      </c>
      <c r="BF8">
        <v>0.1787921288622551</v>
      </c>
    </row>
    <row r="9" spans="2:58">
      <c r="B9">
        <v>923</v>
      </c>
      <c r="C9" t="s">
        <v>294</v>
      </c>
      <c r="D9" t="s">
        <v>295</v>
      </c>
      <c r="E9" t="s">
        <v>276</v>
      </c>
      <c r="F9" t="s">
        <v>277</v>
      </c>
      <c r="G9">
        <v>603</v>
      </c>
      <c r="H9">
        <v>715</v>
      </c>
      <c r="I9" t="s">
        <v>296</v>
      </c>
      <c r="J9" s="169" t="s">
        <v>297</v>
      </c>
      <c r="K9" s="169" t="s">
        <v>298</v>
      </c>
      <c r="L9">
        <v>8.3000000000000025</v>
      </c>
      <c r="M9" t="s">
        <v>299</v>
      </c>
      <c r="N9" t="s">
        <v>300</v>
      </c>
      <c r="O9" t="s">
        <v>301</v>
      </c>
      <c r="P9">
        <v>0</v>
      </c>
      <c r="Q9">
        <v>0</v>
      </c>
      <c r="R9">
        <v>0.99024390244000005</v>
      </c>
      <c r="S9">
        <v>5.3199859668722818</v>
      </c>
      <c r="T9">
        <v>2.729988317080565</v>
      </c>
      <c r="U9">
        <v>1.572595890200994</v>
      </c>
      <c r="V9">
        <v>1.371636051513841</v>
      </c>
      <c r="W9">
        <v>1.0609998262889531</v>
      </c>
      <c r="X9">
        <v>0.87944793948043365</v>
      </c>
      <c r="Y9">
        <v>2</v>
      </c>
      <c r="Z9">
        <v>5.960263628708689</v>
      </c>
      <c r="AA9">
        <v>0.49018999698914978</v>
      </c>
      <c r="AB9">
        <v>52.657686206746078</v>
      </c>
      <c r="AC9" t="s">
        <v>302</v>
      </c>
      <c r="AD9">
        <v>4.0881953733901826</v>
      </c>
      <c r="AE9">
        <v>931566.78</v>
      </c>
      <c r="AF9">
        <v>1189574</v>
      </c>
      <c r="AG9">
        <v>58.319404648585561</v>
      </c>
      <c r="AH9">
        <v>48.386776274531812</v>
      </c>
      <c r="AI9">
        <v>20.415878289202681</v>
      </c>
      <c r="AJ9">
        <v>4.726993865030674</v>
      </c>
      <c r="AK9">
        <v>3.972121112263709</v>
      </c>
      <c r="AL9">
        <v>21.68904246394079</v>
      </c>
      <c r="AM9">
        <v>0.68032253563040224</v>
      </c>
      <c r="AN9">
        <v>0.12886461876268221</v>
      </c>
      <c r="AO9">
        <v>47.259065208717303</v>
      </c>
      <c r="AP9">
        <v>28.170860521721991</v>
      </c>
      <c r="AQ9">
        <v>24.57007426956072</v>
      </c>
      <c r="AR9">
        <v>10.3990258170505</v>
      </c>
      <c r="AS9">
        <v>28.15010402204587</v>
      </c>
      <c r="AT9">
        <v>61.450870160903627</v>
      </c>
      <c r="AU9">
        <v>25.12099481607741</v>
      </c>
      <c r="AV9">
        <v>33.198410458544053</v>
      </c>
      <c r="AW9">
        <v>37.59239930810319</v>
      </c>
      <c r="AX9">
        <v>4.0881954172753554</v>
      </c>
      <c r="AY9">
        <v>6149.5828054434533</v>
      </c>
      <c r="AZ9">
        <v>1189966.0841823351</v>
      </c>
      <c r="BA9">
        <v>0.1906578173569688</v>
      </c>
      <c r="BB9">
        <v>3.389061581114005E-2</v>
      </c>
      <c r="BC9">
        <v>0.10311686129547171</v>
      </c>
      <c r="BD9">
        <v>0.60018482735444845</v>
      </c>
      <c r="BE9">
        <v>0</v>
      </c>
      <c r="BF9">
        <v>7.2149878181970925E-2</v>
      </c>
    </row>
    <row r="10" spans="2:58">
      <c r="B10">
        <v>1231</v>
      </c>
      <c r="C10" t="s">
        <v>303</v>
      </c>
      <c r="D10" t="s">
        <v>304</v>
      </c>
      <c r="E10" t="s">
        <v>276</v>
      </c>
      <c r="F10" t="s">
        <v>277</v>
      </c>
      <c r="G10">
        <v>4381</v>
      </c>
      <c r="H10">
        <v>855</v>
      </c>
      <c r="I10" t="s">
        <v>305</v>
      </c>
      <c r="J10" s="169" t="s">
        <v>306</v>
      </c>
      <c r="K10" s="169" t="s">
        <v>307</v>
      </c>
      <c r="L10">
        <v>8.9</v>
      </c>
      <c r="M10" t="s">
        <v>308</v>
      </c>
      <c r="N10" t="s">
        <v>309</v>
      </c>
      <c r="O10" t="s">
        <v>310</v>
      </c>
      <c r="P10">
        <v>0</v>
      </c>
      <c r="Q10">
        <v>0</v>
      </c>
      <c r="R10">
        <v>1</v>
      </c>
      <c r="S10">
        <v>10.928836929210711</v>
      </c>
      <c r="T10">
        <v>6.7134580642481883</v>
      </c>
      <c r="U10">
        <v>3.2248686587619662</v>
      </c>
      <c r="V10">
        <v>1.99763274290342</v>
      </c>
      <c r="W10">
        <v>0.38000706024046349</v>
      </c>
      <c r="X10">
        <v>0.76755196544635251</v>
      </c>
      <c r="Y10">
        <v>1</v>
      </c>
      <c r="Z10">
        <v>3.4146974682807918</v>
      </c>
      <c r="AA10">
        <v>0.26216749846935272</v>
      </c>
      <c r="AB10">
        <v>34.651076557170107</v>
      </c>
      <c r="AC10" t="s">
        <v>311</v>
      </c>
      <c r="AD10">
        <v>2.658407280486863</v>
      </c>
      <c r="AE10">
        <v>195108.929999999</v>
      </c>
      <c r="AF10">
        <v>195113</v>
      </c>
      <c r="AG10">
        <v>35.214379987630679</v>
      </c>
      <c r="AH10">
        <v>43.000584276803707</v>
      </c>
      <c r="AI10">
        <v>32.497767960105122</v>
      </c>
      <c r="AJ10">
        <v>19.026133573877701</v>
      </c>
      <c r="AK10">
        <v>3.0233454459723279</v>
      </c>
      <c r="AL10">
        <v>2.0603445183047771E-3</v>
      </c>
      <c r="AM10">
        <v>2.4500827725471912</v>
      </c>
      <c r="AN10">
        <v>0</v>
      </c>
      <c r="AO10">
        <v>34.182474029710697</v>
      </c>
      <c r="AP10">
        <v>13.010007661527361</v>
      </c>
      <c r="AQ10">
        <v>52.807518308761942</v>
      </c>
      <c r="AR10">
        <v>14.59697823770327</v>
      </c>
      <c r="AS10">
        <v>27.630195038841709</v>
      </c>
      <c r="AT10">
        <v>57.772826723455033</v>
      </c>
      <c r="AU10">
        <v>14.61411400360373</v>
      </c>
      <c r="AV10">
        <v>20.600267788884281</v>
      </c>
      <c r="AW10">
        <v>62.127210790772672</v>
      </c>
      <c r="AX10">
        <v>2.6584074167393221</v>
      </c>
      <c r="AY10">
        <v>1886.5700947526659</v>
      </c>
      <c r="AZ10">
        <v>195152.25857046971</v>
      </c>
      <c r="BA10">
        <v>7.7865661243391659E-4</v>
      </c>
      <c r="BB10">
        <v>0.15985000614728909</v>
      </c>
      <c r="BC10">
        <v>0.12386787426744809</v>
      </c>
      <c r="BD10">
        <v>0.49508216876357519</v>
      </c>
      <c r="BE10">
        <v>2.049096348510307E-5</v>
      </c>
      <c r="BF10">
        <v>0.22040080324576861</v>
      </c>
    </row>
    <row r="11" spans="2:58">
      <c r="B11">
        <v>2100</v>
      </c>
      <c r="C11" t="s">
        <v>312</v>
      </c>
      <c r="D11" t="s">
        <v>313</v>
      </c>
      <c r="E11" t="s">
        <v>276</v>
      </c>
      <c r="F11" t="s">
        <v>277</v>
      </c>
      <c r="G11">
        <v>1314</v>
      </c>
      <c r="H11">
        <v>2165</v>
      </c>
      <c r="I11" t="s">
        <v>296</v>
      </c>
      <c r="J11" s="169" t="s">
        <v>314</v>
      </c>
      <c r="K11" s="169" t="s">
        <v>315</v>
      </c>
      <c r="L11">
        <v>13.2</v>
      </c>
      <c r="M11" t="s">
        <v>316</v>
      </c>
      <c r="N11" t="s">
        <v>317</v>
      </c>
      <c r="O11" t="s">
        <v>318</v>
      </c>
      <c r="P11">
        <v>0</v>
      </c>
      <c r="Q11">
        <v>0</v>
      </c>
      <c r="R11">
        <v>0</v>
      </c>
      <c r="S11">
        <v>4.3251969298385928</v>
      </c>
      <c r="T11">
        <v>2.8531140876506971</v>
      </c>
      <c r="U11">
        <v>1.7344098749147929</v>
      </c>
      <c r="V11">
        <v>1.937922497865209</v>
      </c>
      <c r="W11">
        <v>4.8943924520687174</v>
      </c>
      <c r="X11">
        <v>0.84254964157661993</v>
      </c>
      <c r="Y11">
        <v>4</v>
      </c>
      <c r="Z11">
        <v>7.7121508167340203</v>
      </c>
      <c r="AA11">
        <v>0.3938516525981518</v>
      </c>
      <c r="AB11">
        <v>17.021588154556241</v>
      </c>
      <c r="AC11" t="s">
        <v>319</v>
      </c>
      <c r="AD11">
        <v>0.54269551752262746</v>
      </c>
      <c r="AE11">
        <v>1450083.84</v>
      </c>
      <c r="AF11">
        <v>1671808</v>
      </c>
      <c r="AG11">
        <v>36.72403452203136</v>
      </c>
      <c r="AH11">
        <v>61.069351265216987</v>
      </c>
      <c r="AI11">
        <v>18.00274014719394</v>
      </c>
      <c r="AJ11">
        <v>6.9777546225403277</v>
      </c>
      <c r="AK11">
        <v>0.66167526414516431</v>
      </c>
      <c r="AL11">
        <v>13.262563643671941</v>
      </c>
      <c r="AM11">
        <v>2.5614185360998399E-2</v>
      </c>
      <c r="AN11">
        <v>3.2719068218360002E-4</v>
      </c>
      <c r="AO11">
        <v>18.351586537524391</v>
      </c>
      <c r="AP11">
        <v>25.115865688674251</v>
      </c>
      <c r="AQ11">
        <v>56.532547773801348</v>
      </c>
      <c r="AR11">
        <v>12.43689222807831</v>
      </c>
      <c r="AS11">
        <v>15.63490532733611</v>
      </c>
      <c r="AT11">
        <v>71.928202444585594</v>
      </c>
      <c r="AU11">
        <v>20.94349110186619</v>
      </c>
      <c r="AV11">
        <v>15.780543420165239</v>
      </c>
      <c r="AW11">
        <v>62.733269960445917</v>
      </c>
      <c r="AX11">
        <v>0.54269551752262868</v>
      </c>
      <c r="AY11">
        <v>5380.0166298643617</v>
      </c>
      <c r="AZ11">
        <v>1647112.4845336259</v>
      </c>
      <c r="BA11">
        <v>6.3715052262270408E-2</v>
      </c>
      <c r="BB11">
        <v>1.8212278295072409E-2</v>
      </c>
      <c r="BC11">
        <v>7.3055491483860008E-2</v>
      </c>
      <c r="BD11">
        <v>0.76049919269663602</v>
      </c>
      <c r="BE11">
        <v>0</v>
      </c>
      <c r="BF11">
        <v>8.4517985262161144E-2</v>
      </c>
    </row>
    <row r="12" spans="2:58">
      <c r="B12">
        <v>2155</v>
      </c>
      <c r="C12" t="s">
        <v>320</v>
      </c>
      <c r="D12" t="s">
        <v>321</v>
      </c>
      <c r="E12" t="s">
        <v>276</v>
      </c>
      <c r="F12" t="s">
        <v>277</v>
      </c>
      <c r="G12">
        <v>2452</v>
      </c>
      <c r="H12">
        <v>415</v>
      </c>
      <c r="I12" t="s">
        <v>305</v>
      </c>
      <c r="J12" s="169" t="s">
        <v>322</v>
      </c>
      <c r="K12" s="169" t="s">
        <v>323</v>
      </c>
      <c r="L12">
        <v>7.7</v>
      </c>
      <c r="M12" t="s">
        <v>324</v>
      </c>
      <c r="N12" t="s">
        <v>325</v>
      </c>
      <c r="O12" t="s">
        <v>307</v>
      </c>
      <c r="P12">
        <v>0</v>
      </c>
      <c r="Q12">
        <v>0</v>
      </c>
      <c r="R12">
        <v>1</v>
      </c>
      <c r="S12">
        <v>11.309066461774879</v>
      </c>
      <c r="T12">
        <v>2.6579907798693809</v>
      </c>
      <c r="U12">
        <v>0.68910872070687668</v>
      </c>
      <c r="V12">
        <v>0.32174414137533608</v>
      </c>
      <c r="W12">
        <v>4.5620437956204379E-2</v>
      </c>
      <c r="X12">
        <v>0.84976469458317327</v>
      </c>
      <c r="Z12">
        <v>3.757950067520142</v>
      </c>
      <c r="AA12">
        <v>0.27566000819206238</v>
      </c>
      <c r="AB12">
        <v>11.022070399060951</v>
      </c>
      <c r="AC12" t="s">
        <v>326</v>
      </c>
      <c r="AD12">
        <v>3.3795598722050619</v>
      </c>
      <c r="AE12">
        <v>144634.80999999901</v>
      </c>
      <c r="AF12">
        <v>168803</v>
      </c>
      <c r="AG12">
        <v>40.70939077529151</v>
      </c>
      <c r="AH12">
        <v>50.156211678702327</v>
      </c>
      <c r="AI12">
        <v>18.629035028998299</v>
      </c>
      <c r="AJ12">
        <v>8.2487870476235017</v>
      </c>
      <c r="AK12">
        <v>2.9653679140773561</v>
      </c>
      <c r="AL12">
        <v>14.31751212952376</v>
      </c>
      <c r="AM12">
        <v>4.7276884889486492</v>
      </c>
      <c r="AN12">
        <v>0.95551619343258121</v>
      </c>
      <c r="AO12">
        <v>0.93805966773357496</v>
      </c>
      <c r="AP12">
        <v>52.411799938085537</v>
      </c>
      <c r="AQ12">
        <v>46.650140394180887</v>
      </c>
      <c r="AR12">
        <v>2.649272396146209</v>
      </c>
      <c r="AS12">
        <v>29.746803844132181</v>
      </c>
      <c r="AT12">
        <v>67.60392375972161</v>
      </c>
      <c r="AU12">
        <v>39.466944368371657</v>
      </c>
      <c r="AV12">
        <v>1.2424464069196071</v>
      </c>
      <c r="AW12">
        <v>55.911049352503703</v>
      </c>
      <c r="AX12">
        <v>3.3795598722050419</v>
      </c>
      <c r="AY12">
        <v>2798.2760777796129</v>
      </c>
      <c r="AZ12">
        <v>168826.19611532541</v>
      </c>
      <c r="BA12">
        <v>4.6662560992941403E-3</v>
      </c>
      <c r="BB12">
        <v>2.9371358188450429E-2</v>
      </c>
      <c r="BC12">
        <v>5.7345208205031029E-2</v>
      </c>
      <c r="BD12">
        <v>0.78080439622909659</v>
      </c>
      <c r="BE12">
        <v>0</v>
      </c>
      <c r="BF12">
        <v>0.12781278127812781</v>
      </c>
    </row>
    <row r="13" spans="2:58">
      <c r="B13">
        <v>3263</v>
      </c>
      <c r="C13" t="s">
        <v>327</v>
      </c>
      <c r="D13" t="s">
        <v>328</v>
      </c>
      <c r="E13" t="s">
        <v>276</v>
      </c>
      <c r="F13" t="s">
        <v>277</v>
      </c>
      <c r="G13">
        <v>7151</v>
      </c>
      <c r="H13">
        <v>760</v>
      </c>
      <c r="I13" t="s">
        <v>329</v>
      </c>
      <c r="J13" s="169" t="s">
        <v>330</v>
      </c>
      <c r="K13" s="169" t="s">
        <v>331</v>
      </c>
      <c r="L13">
        <v>18.600000000000001</v>
      </c>
      <c r="M13" t="s">
        <v>323</v>
      </c>
      <c r="N13" t="s">
        <v>332</v>
      </c>
      <c r="O13" t="s">
        <v>333</v>
      </c>
      <c r="P13">
        <v>0</v>
      </c>
      <c r="Q13">
        <v>0</v>
      </c>
      <c r="R13">
        <v>0.99390862944000002</v>
      </c>
      <c r="S13">
        <v>6.0294791507560719</v>
      </c>
      <c r="T13">
        <v>2.4056819917519472</v>
      </c>
      <c r="U13">
        <v>2.2605773636780202</v>
      </c>
      <c r="V13">
        <v>1.172292653123568</v>
      </c>
      <c r="W13">
        <v>1.141744310371162</v>
      </c>
      <c r="X13">
        <v>0.86990224530319227</v>
      </c>
      <c r="Y13">
        <v>2</v>
      </c>
      <c r="Z13">
        <v>1.3980100154876709</v>
      </c>
      <c r="AA13">
        <v>-7.9250000417232513E-3</v>
      </c>
      <c r="AB13">
        <v>24.339502307799378</v>
      </c>
      <c r="AC13" t="s">
        <v>334</v>
      </c>
      <c r="AD13">
        <v>10.915294357838629</v>
      </c>
      <c r="AE13">
        <v>95120.11</v>
      </c>
      <c r="AF13">
        <v>106112</v>
      </c>
      <c r="AG13">
        <v>21.775815860599721</v>
      </c>
      <c r="AH13">
        <v>48.404007086851543</v>
      </c>
      <c r="AI13">
        <v>18.595022240651289</v>
      </c>
      <c r="AJ13">
        <v>12.718665183956571</v>
      </c>
      <c r="AK13">
        <v>9.7941420386006293</v>
      </c>
      <c r="AL13">
        <v>10.358338359469149</v>
      </c>
      <c r="AM13">
        <v>0.12940101025331721</v>
      </c>
      <c r="AN13">
        <v>0</v>
      </c>
      <c r="AO13">
        <v>1.2499596008446661</v>
      </c>
      <c r="AP13">
        <v>35.053208121262053</v>
      </c>
      <c r="AQ13">
        <v>63.696832277893279</v>
      </c>
      <c r="AR13">
        <v>6.4161203757434143E-2</v>
      </c>
      <c r="AS13">
        <v>10.06712599871779</v>
      </c>
      <c r="AT13">
        <v>89.868712797524779</v>
      </c>
      <c r="AU13">
        <v>21.076920537623391</v>
      </c>
      <c r="AV13">
        <v>0.69889532297639367</v>
      </c>
      <c r="AW13">
        <v>67.308889781561547</v>
      </c>
      <c r="AX13">
        <v>10.91529435783867</v>
      </c>
      <c r="AY13">
        <v>1587.5797814089281</v>
      </c>
      <c r="AZ13">
        <v>106143.6740263339</v>
      </c>
      <c r="BA13">
        <v>7.5360789781076906E-5</v>
      </c>
      <c r="BB13">
        <v>1.9932928897094838E-2</v>
      </c>
      <c r="BC13">
        <v>7.1668111081804139E-2</v>
      </c>
      <c r="BD13">
        <v>0.70628132182825276</v>
      </c>
      <c r="BE13">
        <v>0</v>
      </c>
      <c r="BF13">
        <v>0.20204227740306721</v>
      </c>
    </row>
    <row r="14" spans="2:58">
      <c r="B14">
        <v>3974</v>
      </c>
      <c r="C14" t="s">
        <v>335</v>
      </c>
      <c r="D14" t="s">
        <v>336</v>
      </c>
      <c r="E14" t="s">
        <v>276</v>
      </c>
      <c r="F14" t="s">
        <v>277</v>
      </c>
      <c r="G14">
        <v>10908</v>
      </c>
      <c r="H14">
        <v>1435</v>
      </c>
      <c r="I14" t="s">
        <v>329</v>
      </c>
      <c r="J14" s="169" t="s">
        <v>337</v>
      </c>
      <c r="K14" s="169" t="s">
        <v>338</v>
      </c>
      <c r="L14">
        <v>20</v>
      </c>
      <c r="M14" t="s">
        <v>317</v>
      </c>
      <c r="N14" t="s">
        <v>339</v>
      </c>
      <c r="O14" t="s">
        <v>340</v>
      </c>
      <c r="P14">
        <v>0</v>
      </c>
      <c r="Q14">
        <v>0</v>
      </c>
      <c r="R14">
        <v>1.0209973753299999</v>
      </c>
      <c r="S14">
        <v>11.91041737360027</v>
      </c>
      <c r="T14">
        <v>9.7356325384828946</v>
      </c>
      <c r="U14">
        <v>4.8061202455501748</v>
      </c>
      <c r="V14">
        <v>2.5295369713421971</v>
      </c>
      <c r="W14">
        <v>1.258598883301971</v>
      </c>
      <c r="X14">
        <v>0.69759693987722493</v>
      </c>
      <c r="Y14">
        <v>7</v>
      </c>
      <c r="Z14">
        <v>3.5227700471878052</v>
      </c>
      <c r="AA14">
        <v>0.15490999817848211</v>
      </c>
      <c r="AB14">
        <v>47.12990782065831</v>
      </c>
      <c r="AC14" t="s">
        <v>341</v>
      </c>
      <c r="AD14">
        <v>0</v>
      </c>
      <c r="AE14">
        <v>131302.769999999</v>
      </c>
      <c r="AF14">
        <v>131303</v>
      </c>
      <c r="AG14">
        <v>7.3988004975066897</v>
      </c>
      <c r="AH14">
        <v>38.668362489813639</v>
      </c>
      <c r="AI14">
        <v>14.63971120233346</v>
      </c>
      <c r="AJ14">
        <v>46.69175114049176</v>
      </c>
      <c r="AK14">
        <v>0</v>
      </c>
      <c r="AL14">
        <v>0</v>
      </c>
      <c r="AM14">
        <v>0</v>
      </c>
      <c r="AN14">
        <v>0</v>
      </c>
      <c r="AO14">
        <v>6.5171230765503756</v>
      </c>
      <c r="AP14">
        <v>5.4258478619714996</v>
      </c>
      <c r="AQ14">
        <v>88.057029061478119</v>
      </c>
      <c r="AR14">
        <v>8.4715836436487493</v>
      </c>
      <c r="AS14">
        <v>8.7592171208768548</v>
      </c>
      <c r="AT14">
        <v>82.769199235474389</v>
      </c>
      <c r="AU14">
        <v>3.3804163751013281</v>
      </c>
      <c r="AV14">
        <v>4.0183846858969368</v>
      </c>
      <c r="AW14">
        <v>92.601198939001733</v>
      </c>
      <c r="AX14">
        <v>0</v>
      </c>
      <c r="AY14">
        <v>1539.970174435789</v>
      </c>
      <c r="AZ14">
        <v>131374.12610627059</v>
      </c>
      <c r="BA14">
        <v>0</v>
      </c>
      <c r="BB14">
        <v>7.4962701336662302E-2</v>
      </c>
      <c r="BC14">
        <v>9.6337119020795905E-2</v>
      </c>
      <c r="BD14">
        <v>0.4377492920865938</v>
      </c>
      <c r="BE14">
        <v>1.5893797765124989E-2</v>
      </c>
      <c r="BF14">
        <v>0.37505708979082297</v>
      </c>
    </row>
    <row r="15" spans="2:58">
      <c r="B15">
        <v>4281</v>
      </c>
      <c r="C15" t="s">
        <v>342</v>
      </c>
      <c r="D15" t="s">
        <v>343</v>
      </c>
      <c r="E15" t="s">
        <v>276</v>
      </c>
      <c r="F15" t="s">
        <v>277</v>
      </c>
      <c r="G15">
        <v>8602</v>
      </c>
      <c r="H15">
        <v>1065</v>
      </c>
      <c r="I15" t="s">
        <v>329</v>
      </c>
      <c r="J15" s="169" t="s">
        <v>344</v>
      </c>
      <c r="K15" s="169" t="s">
        <v>345</v>
      </c>
      <c r="L15">
        <v>21.8</v>
      </c>
      <c r="M15" t="s">
        <v>346</v>
      </c>
      <c r="N15" t="s">
        <v>347</v>
      </c>
      <c r="O15" t="s">
        <v>348</v>
      </c>
      <c r="P15">
        <v>0.12258064516</v>
      </c>
      <c r="Q15">
        <v>0.12258064516</v>
      </c>
      <c r="R15">
        <v>19.634274193500001</v>
      </c>
      <c r="S15">
        <v>13.530163515417639</v>
      </c>
      <c r="T15">
        <v>8.5558868827211061</v>
      </c>
      <c r="U15">
        <v>4.4335943900121242</v>
      </c>
      <c r="V15">
        <v>1.8317659009732279</v>
      </c>
      <c r="W15">
        <v>0.25887210407313949</v>
      </c>
      <c r="X15">
        <v>0.71389717206802761</v>
      </c>
      <c r="Y15">
        <v>7</v>
      </c>
      <c r="Z15">
        <v>2.9990650415420528</v>
      </c>
      <c r="AA15">
        <v>0.1000900007784367</v>
      </c>
      <c r="AB15">
        <v>29.54185849113091</v>
      </c>
      <c r="AC15" t="s">
        <v>349</v>
      </c>
      <c r="AD15">
        <v>0.40013739608854981</v>
      </c>
      <c r="AE15">
        <v>123642.52999999899</v>
      </c>
      <c r="AF15">
        <v>123643</v>
      </c>
      <c r="AG15">
        <v>10.582232505271531</v>
      </c>
      <c r="AH15">
        <v>50.997792030280642</v>
      </c>
      <c r="AI15">
        <v>24.606851985150801</v>
      </c>
      <c r="AJ15">
        <v>22.62593919591081</v>
      </c>
      <c r="AK15">
        <v>0.48228367153821811</v>
      </c>
      <c r="AL15">
        <v>0</v>
      </c>
      <c r="AM15">
        <v>1.2867529904644821</v>
      </c>
      <c r="AN15">
        <v>0</v>
      </c>
      <c r="AO15">
        <v>3.826456211945056</v>
      </c>
      <c r="AP15">
        <v>12.53128805692662</v>
      </c>
      <c r="AQ15">
        <v>83.64225573112833</v>
      </c>
      <c r="AR15">
        <v>0.45259353846305372</v>
      </c>
      <c r="AS15">
        <v>3.320465477828022</v>
      </c>
      <c r="AT15">
        <v>96.226940983708928</v>
      </c>
      <c r="AU15">
        <v>8.1454806617948332</v>
      </c>
      <c r="AV15">
        <v>2.4367501317305398</v>
      </c>
      <c r="AW15">
        <v>89.017631875110951</v>
      </c>
      <c r="AX15">
        <v>0.4001373313636773</v>
      </c>
      <c r="AY15">
        <v>1482.6106291011699</v>
      </c>
      <c r="AZ15">
        <v>123686.33658955339</v>
      </c>
      <c r="BA15">
        <v>0</v>
      </c>
      <c r="BB15">
        <v>5.5546574412363797E-2</v>
      </c>
      <c r="BC15">
        <v>9.224352549387306E-2</v>
      </c>
      <c r="BD15">
        <v>0.62430081800252191</v>
      </c>
      <c r="BE15">
        <v>0</v>
      </c>
      <c r="BF15">
        <v>0.22790908209124119</v>
      </c>
    </row>
    <row r="16" spans="2:58">
      <c r="B16">
        <v>4434</v>
      </c>
      <c r="C16" t="s">
        <v>350</v>
      </c>
      <c r="D16" t="s">
        <v>351</v>
      </c>
      <c r="E16" t="s">
        <v>276</v>
      </c>
      <c r="F16" t="s">
        <v>277</v>
      </c>
      <c r="G16">
        <v>8652</v>
      </c>
      <c r="H16">
        <v>1665</v>
      </c>
      <c r="I16" t="s">
        <v>352</v>
      </c>
      <c r="J16" s="169" t="s">
        <v>353</v>
      </c>
      <c r="K16" s="169" t="s">
        <v>354</v>
      </c>
      <c r="L16">
        <v>13.7</v>
      </c>
      <c r="M16" t="s">
        <v>355</v>
      </c>
      <c r="N16" t="s">
        <v>356</v>
      </c>
      <c r="O16" t="s">
        <v>357</v>
      </c>
      <c r="P16">
        <v>0</v>
      </c>
      <c r="Q16">
        <v>0</v>
      </c>
      <c r="R16">
        <v>1.4695049505</v>
      </c>
      <c r="S16">
        <v>10.02922047318315</v>
      </c>
      <c r="T16">
        <v>4.8864171929493816</v>
      </c>
      <c r="U16">
        <v>2.5563201055707419</v>
      </c>
      <c r="V16">
        <v>0.89923649731360167</v>
      </c>
      <c r="W16">
        <v>0.36572721274389669</v>
      </c>
      <c r="X16">
        <v>0.81263078518239229</v>
      </c>
      <c r="Y16">
        <v>2</v>
      </c>
      <c r="Z16">
        <v>1.3183450102806089</v>
      </c>
      <c r="AA16">
        <v>-6.9250001106411219E-3</v>
      </c>
      <c r="AB16">
        <v>26.413228521685479</v>
      </c>
      <c r="AC16" t="s">
        <v>358</v>
      </c>
      <c r="AD16">
        <v>11.496792300480241</v>
      </c>
      <c r="AE16">
        <v>215194.72</v>
      </c>
      <c r="AF16">
        <v>215195</v>
      </c>
      <c r="AG16">
        <v>13.85301182110787</v>
      </c>
      <c r="AH16">
        <v>37.794604893236382</v>
      </c>
      <c r="AI16">
        <v>25.82831385487577</v>
      </c>
      <c r="AJ16">
        <v>20.201203559562259</v>
      </c>
      <c r="AK16">
        <v>11.59714677385627</v>
      </c>
      <c r="AL16">
        <v>0</v>
      </c>
      <c r="AM16">
        <v>4.5786008039220203</v>
      </c>
      <c r="AN16">
        <v>0</v>
      </c>
      <c r="AO16">
        <v>2.3421136724754059</v>
      </c>
      <c r="AP16">
        <v>21.95674548631423</v>
      </c>
      <c r="AQ16">
        <v>75.701140841210375</v>
      </c>
      <c r="AR16">
        <v>0.40995846800107449</v>
      </c>
      <c r="AS16">
        <v>15.67383167414043</v>
      </c>
      <c r="AT16">
        <v>83.91620985785849</v>
      </c>
      <c r="AU16">
        <v>12.737082954451679</v>
      </c>
      <c r="AV16">
        <v>1.1159288666562091</v>
      </c>
      <c r="AW16">
        <v>74.650195878411878</v>
      </c>
      <c r="AX16">
        <v>11.49679230048025</v>
      </c>
      <c r="AY16">
        <v>2029.31062749999</v>
      </c>
      <c r="AZ16">
        <v>214910.60212338189</v>
      </c>
      <c r="BA16">
        <v>0</v>
      </c>
      <c r="BB16">
        <v>2.7929636654393991E-2</v>
      </c>
      <c r="BC16">
        <v>9.9111160697683068E-2</v>
      </c>
      <c r="BD16">
        <v>0.57465878240172563</v>
      </c>
      <c r="BE16">
        <v>0</v>
      </c>
      <c r="BF16">
        <v>0.29830042024619741</v>
      </c>
    </row>
    <row r="17" spans="2:58">
      <c r="B17">
        <v>4532</v>
      </c>
      <c r="C17" t="s">
        <v>359</v>
      </c>
      <c r="D17" t="s">
        <v>360</v>
      </c>
      <c r="E17" t="s">
        <v>276</v>
      </c>
      <c r="F17" t="s">
        <v>277</v>
      </c>
      <c r="G17">
        <v>12522</v>
      </c>
      <c r="H17">
        <v>770</v>
      </c>
      <c r="I17" t="s">
        <v>361</v>
      </c>
      <c r="J17" s="169" t="s">
        <v>362</v>
      </c>
      <c r="K17" s="169" t="s">
        <v>363</v>
      </c>
      <c r="L17">
        <v>23.3</v>
      </c>
      <c r="M17" t="s">
        <v>364</v>
      </c>
      <c r="N17" t="s">
        <v>365</v>
      </c>
      <c r="O17" t="s">
        <v>366</v>
      </c>
      <c r="P17">
        <v>0</v>
      </c>
      <c r="Q17">
        <v>0</v>
      </c>
      <c r="R17">
        <v>20.139873417699999</v>
      </c>
      <c r="S17">
        <v>13.43017497523935</v>
      </c>
      <c r="T17">
        <v>9.712776493892374</v>
      </c>
      <c r="U17">
        <v>6.4311654011224819</v>
      </c>
      <c r="V17">
        <v>2.7203697589963678</v>
      </c>
      <c r="W17">
        <v>0.99042588312974567</v>
      </c>
      <c r="X17">
        <v>0.66715087487619673</v>
      </c>
      <c r="Y17">
        <v>11</v>
      </c>
      <c r="Z17">
        <v>3.913739919662476</v>
      </c>
      <c r="AA17">
        <v>0.2291000038385391</v>
      </c>
      <c r="AB17">
        <v>48.379888687918793</v>
      </c>
      <c r="AC17" t="s">
        <v>367</v>
      </c>
      <c r="AD17">
        <v>0</v>
      </c>
      <c r="AE17">
        <v>61365.779999999897</v>
      </c>
      <c r="AF17">
        <v>61366</v>
      </c>
      <c r="AG17">
        <v>4.6964122349622111</v>
      </c>
      <c r="AH17">
        <v>27.777352279763878</v>
      </c>
      <c r="AI17">
        <v>30.751702897369881</v>
      </c>
      <c r="AJ17">
        <v>41.470586318156627</v>
      </c>
      <c r="AK17">
        <v>0</v>
      </c>
      <c r="AL17">
        <v>0</v>
      </c>
      <c r="AM17">
        <v>0</v>
      </c>
      <c r="AN17">
        <v>0</v>
      </c>
      <c r="AO17">
        <v>1.2726272216564349</v>
      </c>
      <c r="AP17">
        <v>1.616054122296124</v>
      </c>
      <c r="AQ17">
        <v>97.11131865604743</v>
      </c>
      <c r="AR17">
        <v>4.0650518517733483</v>
      </c>
      <c r="AS17">
        <v>7.8351553433556642</v>
      </c>
      <c r="AT17">
        <v>88.099792804870987</v>
      </c>
      <c r="AU17">
        <v>2.8583520000886371</v>
      </c>
      <c r="AV17">
        <v>1.838060234873574</v>
      </c>
      <c r="AW17">
        <v>95.30358776503779</v>
      </c>
      <c r="AX17">
        <v>0</v>
      </c>
      <c r="AY17">
        <v>1001.129458385782</v>
      </c>
      <c r="AZ17">
        <v>61411.131444443061</v>
      </c>
      <c r="BA17">
        <v>0</v>
      </c>
      <c r="BB17">
        <v>4.6775244299674272E-2</v>
      </c>
      <c r="BC17">
        <v>7.9869706840390881E-2</v>
      </c>
      <c r="BD17">
        <v>0.51654723127035829</v>
      </c>
      <c r="BE17">
        <v>9.1856677524429966E-3</v>
      </c>
      <c r="BF17">
        <v>0.34762214983713358</v>
      </c>
    </row>
    <row r="18" spans="2:58">
      <c r="B18">
        <v>5082</v>
      </c>
      <c r="C18" t="s">
        <v>368</v>
      </c>
      <c r="D18" t="s">
        <v>369</v>
      </c>
      <c r="E18" t="s">
        <v>276</v>
      </c>
      <c r="F18" t="s">
        <v>277</v>
      </c>
      <c r="G18">
        <v>9636</v>
      </c>
      <c r="H18">
        <v>3085</v>
      </c>
      <c r="I18" t="s">
        <v>287</v>
      </c>
      <c r="J18" s="169" t="s">
        <v>370</v>
      </c>
      <c r="K18" s="169" t="s">
        <v>371</v>
      </c>
      <c r="L18">
        <v>27.6</v>
      </c>
      <c r="M18" t="s">
        <v>372</v>
      </c>
      <c r="N18" t="s">
        <v>373</v>
      </c>
      <c r="O18" t="s">
        <v>374</v>
      </c>
      <c r="P18">
        <v>0</v>
      </c>
      <c r="Q18">
        <v>0</v>
      </c>
      <c r="R18">
        <v>0.99522998295999998</v>
      </c>
      <c r="S18">
        <v>10.20388207108982</v>
      </c>
      <c r="T18">
        <v>6.9219674375397249</v>
      </c>
      <c r="U18">
        <v>3.7280594533809222</v>
      </c>
      <c r="V18">
        <v>1.667237080134943</v>
      </c>
      <c r="W18">
        <v>0.41803158460861478</v>
      </c>
      <c r="X18">
        <v>0.77060822373245974</v>
      </c>
      <c r="Y18">
        <v>13</v>
      </c>
      <c r="Z18">
        <v>1.5708833336830139</v>
      </c>
      <c r="AA18">
        <v>-1.9366663570205369E-3</v>
      </c>
      <c r="AB18">
        <v>44.931335487908072</v>
      </c>
      <c r="AC18" t="s">
        <v>375</v>
      </c>
      <c r="AD18">
        <v>5.2762121806091944</v>
      </c>
      <c r="AE18">
        <v>319294.21000000002</v>
      </c>
      <c r="AF18">
        <v>331536</v>
      </c>
      <c r="AG18">
        <v>33.067355026575576</v>
      </c>
      <c r="AH18">
        <v>60.500015081318438</v>
      </c>
      <c r="AI18">
        <v>13.949531875874721</v>
      </c>
      <c r="AJ18">
        <v>16.436157762656212</v>
      </c>
      <c r="AK18">
        <v>5.3991029631774214</v>
      </c>
      <c r="AL18">
        <v>3.6925793880604192</v>
      </c>
      <c r="AM18">
        <v>2.2745644515226069E-2</v>
      </c>
      <c r="AN18">
        <v>0</v>
      </c>
      <c r="AO18">
        <v>19.477738833919751</v>
      </c>
      <c r="AP18">
        <v>28.670270826496861</v>
      </c>
      <c r="AQ18">
        <v>51.851990339583388</v>
      </c>
      <c r="AR18">
        <v>3.0820762623541231</v>
      </c>
      <c r="AS18">
        <v>13.59223762814686</v>
      </c>
      <c r="AT18">
        <v>83.325686109499017</v>
      </c>
      <c r="AU18">
        <v>19.99997056006838</v>
      </c>
      <c r="AV18">
        <v>13.067383430868221</v>
      </c>
      <c r="AW18">
        <v>61.656433993700283</v>
      </c>
      <c r="AX18">
        <v>5.27621201536311</v>
      </c>
      <c r="AY18">
        <v>2906.4321613880579</v>
      </c>
      <c r="AZ18">
        <v>331571.54877674382</v>
      </c>
      <c r="BA18">
        <v>0</v>
      </c>
      <c r="BB18">
        <v>0.1538702790074909</v>
      </c>
      <c r="BC18">
        <v>0.15450959578292181</v>
      </c>
      <c r="BD18">
        <v>0.46936707639232339</v>
      </c>
      <c r="BE18">
        <v>0</v>
      </c>
      <c r="BF18">
        <v>0.22225304881726399</v>
      </c>
    </row>
    <row r="19" spans="2:58">
      <c r="B19">
        <v>5436</v>
      </c>
      <c r="C19" t="s">
        <v>376</v>
      </c>
      <c r="D19" t="s">
        <v>377</v>
      </c>
      <c r="E19" t="s">
        <v>276</v>
      </c>
      <c r="F19" t="s">
        <v>277</v>
      </c>
      <c r="G19">
        <v>5954</v>
      </c>
      <c r="H19">
        <v>2250</v>
      </c>
      <c r="I19" t="s">
        <v>378</v>
      </c>
      <c r="J19" s="169" t="s">
        <v>379</v>
      </c>
      <c r="K19" s="169" t="s">
        <v>380</v>
      </c>
      <c r="L19">
        <v>9.5</v>
      </c>
      <c r="M19" t="s">
        <v>381</v>
      </c>
      <c r="N19" t="s">
        <v>382</v>
      </c>
      <c r="O19" t="s">
        <v>301</v>
      </c>
      <c r="P19">
        <v>0</v>
      </c>
      <c r="Q19">
        <v>0</v>
      </c>
      <c r="R19">
        <v>1</v>
      </c>
      <c r="S19">
        <v>13.528963823374839</v>
      </c>
      <c r="T19">
        <v>7.8809914518914166</v>
      </c>
      <c r="U19">
        <v>3.5415124896768448</v>
      </c>
      <c r="V19">
        <v>0.94704891834786609</v>
      </c>
      <c r="W19">
        <v>0.26706135976061007</v>
      </c>
      <c r="X19">
        <v>0.73834421956948426</v>
      </c>
      <c r="Y19">
        <v>2</v>
      </c>
      <c r="Z19">
        <v>3.557973345120748</v>
      </c>
      <c r="AA19">
        <v>0.22095666577418649</v>
      </c>
      <c r="AB19">
        <v>39.300006604236373</v>
      </c>
      <c r="AC19" t="s">
        <v>383</v>
      </c>
      <c r="AD19">
        <v>2.8461134953977711</v>
      </c>
      <c r="AE19">
        <v>377897.78999999899</v>
      </c>
      <c r="AF19">
        <v>377898</v>
      </c>
      <c r="AG19">
        <v>27.755788145784159</v>
      </c>
      <c r="AH19">
        <v>45.02818750033051</v>
      </c>
      <c r="AI19">
        <v>29.56457827244386</v>
      </c>
      <c r="AJ19">
        <v>21.72268972050659</v>
      </c>
      <c r="AK19">
        <v>3.0105584046488469</v>
      </c>
      <c r="AL19">
        <v>0</v>
      </c>
      <c r="AM19">
        <v>0.67393053151908422</v>
      </c>
      <c r="AN19">
        <v>0</v>
      </c>
      <c r="AO19">
        <v>22.393806510578191</v>
      </c>
      <c r="AP19">
        <v>18.80564962680565</v>
      </c>
      <c r="AQ19">
        <v>58.800543862616152</v>
      </c>
      <c r="AR19">
        <v>11.65797485677869</v>
      </c>
      <c r="AS19">
        <v>17.97662900389755</v>
      </c>
      <c r="AT19">
        <v>70.365396139323749</v>
      </c>
      <c r="AU19">
        <v>13.829294953008359</v>
      </c>
      <c r="AV19">
        <v>13.926493192775791</v>
      </c>
      <c r="AW19">
        <v>69.398098358818075</v>
      </c>
      <c r="AX19">
        <v>2.846113495397772</v>
      </c>
      <c r="AY19">
        <v>3020.2946439164748</v>
      </c>
      <c r="AZ19">
        <v>377886.31190317101</v>
      </c>
      <c r="BA19">
        <v>1.207407407407407E-2</v>
      </c>
      <c r="BB19">
        <v>0.10424338624338619</v>
      </c>
      <c r="BC19">
        <v>0.1142222222222222</v>
      </c>
      <c r="BD19">
        <v>0.51637037037037037</v>
      </c>
      <c r="BE19">
        <v>0</v>
      </c>
      <c r="BF19">
        <v>0.25308994708994709</v>
      </c>
    </row>
    <row r="20" spans="2:58">
      <c r="B20">
        <v>5693</v>
      </c>
      <c r="C20" t="s">
        <v>384</v>
      </c>
      <c r="D20" t="s">
        <v>385</v>
      </c>
      <c r="E20" t="s">
        <v>276</v>
      </c>
      <c r="F20" t="s">
        <v>277</v>
      </c>
      <c r="G20">
        <v>9150</v>
      </c>
      <c r="H20">
        <v>710</v>
      </c>
      <c r="I20" t="s">
        <v>329</v>
      </c>
      <c r="J20" s="169" t="s">
        <v>386</v>
      </c>
      <c r="K20" s="169" t="s">
        <v>280</v>
      </c>
      <c r="L20">
        <v>20.3</v>
      </c>
      <c r="M20" t="s">
        <v>387</v>
      </c>
      <c r="N20" t="s">
        <v>388</v>
      </c>
      <c r="O20" t="s">
        <v>389</v>
      </c>
      <c r="P20">
        <v>0</v>
      </c>
      <c r="Q20">
        <v>0</v>
      </c>
      <c r="R20">
        <v>1</v>
      </c>
      <c r="S20">
        <v>10.07646381062114</v>
      </c>
      <c r="T20">
        <v>6.1590028281135432</v>
      </c>
      <c r="U20">
        <v>4.0693411542893054</v>
      </c>
      <c r="V20">
        <v>2.5243531999581021</v>
      </c>
      <c r="W20">
        <v>0.75940085890855769</v>
      </c>
      <c r="X20">
        <v>0.76411438148109356</v>
      </c>
      <c r="Y20">
        <v>9</v>
      </c>
      <c r="Z20">
        <v>3.4560550451278691</v>
      </c>
      <c r="AA20">
        <v>0.14283499866724009</v>
      </c>
      <c r="AB20">
        <v>46.271574596640583</v>
      </c>
      <c r="AC20" t="s">
        <v>390</v>
      </c>
      <c r="AD20">
        <v>0</v>
      </c>
      <c r="AE20">
        <v>77346.960000000006</v>
      </c>
      <c r="AF20">
        <v>77347</v>
      </c>
      <c r="AG20">
        <v>18.057257841807871</v>
      </c>
      <c r="AH20">
        <v>57.425614438827488</v>
      </c>
      <c r="AI20">
        <v>9.4870259997155664</v>
      </c>
      <c r="AJ20">
        <v>33.014751703362762</v>
      </c>
      <c r="AK20">
        <v>0</v>
      </c>
      <c r="AL20">
        <v>0</v>
      </c>
      <c r="AM20">
        <v>7.2556143095401107E-2</v>
      </c>
      <c r="AN20">
        <v>0</v>
      </c>
      <c r="AO20">
        <v>17.14312473672803</v>
      </c>
      <c r="AP20">
        <v>12.83860072463265</v>
      </c>
      <c r="AQ20">
        <v>70.018274538639318</v>
      </c>
      <c r="AR20">
        <v>2.415667633787717</v>
      </c>
      <c r="AS20">
        <v>4.7497046169696233</v>
      </c>
      <c r="AT20">
        <v>92.834627749242657</v>
      </c>
      <c r="AU20">
        <v>7.8232551091859417</v>
      </c>
      <c r="AV20">
        <v>10.234002732621949</v>
      </c>
      <c r="AW20">
        <v>81.942742158192104</v>
      </c>
      <c r="AX20">
        <v>0</v>
      </c>
      <c r="AY20">
        <v>1189.1143910498599</v>
      </c>
      <c r="AZ20">
        <v>77373.160067325531</v>
      </c>
      <c r="BA20">
        <v>0</v>
      </c>
      <c r="BB20">
        <v>8.4280694501860279E-2</v>
      </c>
      <c r="BC20">
        <v>9.9059528730880531E-2</v>
      </c>
      <c r="BD20">
        <v>0.48165564282761469</v>
      </c>
      <c r="BE20">
        <v>9.1980157089706482E-3</v>
      </c>
      <c r="BF20">
        <v>0.32580611823067379</v>
      </c>
    </row>
    <row r="21" spans="2:58">
      <c r="B21">
        <v>6308</v>
      </c>
      <c r="C21" t="s">
        <v>391</v>
      </c>
      <c r="D21" t="s">
        <v>392</v>
      </c>
      <c r="E21" t="s">
        <v>276</v>
      </c>
      <c r="F21" t="s">
        <v>277</v>
      </c>
      <c r="G21">
        <v>9311</v>
      </c>
      <c r="H21">
        <v>1545</v>
      </c>
      <c r="I21" t="s">
        <v>287</v>
      </c>
      <c r="J21" s="169" t="s">
        <v>393</v>
      </c>
      <c r="K21" s="169" t="s">
        <v>394</v>
      </c>
      <c r="L21">
        <v>26.8</v>
      </c>
      <c r="M21" t="s">
        <v>395</v>
      </c>
      <c r="N21" t="s">
        <v>396</v>
      </c>
      <c r="O21" t="s">
        <v>397</v>
      </c>
      <c r="P21">
        <v>0</v>
      </c>
      <c r="Q21">
        <v>0</v>
      </c>
      <c r="R21">
        <v>1.6926892950400001</v>
      </c>
      <c r="S21">
        <v>16.541518357794139</v>
      </c>
      <c r="T21">
        <v>9.6250426641962061</v>
      </c>
      <c r="U21">
        <v>2.9816178263201518</v>
      </c>
      <c r="V21">
        <v>1.699253986054903</v>
      </c>
      <c r="W21">
        <v>0.34862743185918382</v>
      </c>
      <c r="X21">
        <v>0.68803939733775421</v>
      </c>
      <c r="Y21">
        <v>12</v>
      </c>
      <c r="Z21">
        <v>3.351655006408691</v>
      </c>
      <c r="AA21">
        <v>0.20039000362157819</v>
      </c>
      <c r="AB21">
        <v>47.189199499515183</v>
      </c>
      <c r="AC21" t="s">
        <v>398</v>
      </c>
      <c r="AD21">
        <v>0.5484719295391336</v>
      </c>
      <c r="AE21">
        <v>166201.76</v>
      </c>
      <c r="AF21">
        <v>166202</v>
      </c>
      <c r="AG21">
        <v>22.61979054854767</v>
      </c>
      <c r="AH21">
        <v>57.015541329225883</v>
      </c>
      <c r="AI21">
        <v>19.678180767981068</v>
      </c>
      <c r="AJ21">
        <v>21.985168650196691</v>
      </c>
      <c r="AK21">
        <v>0.54847113753143761</v>
      </c>
      <c r="AL21">
        <v>0</v>
      </c>
      <c r="AM21">
        <v>0.77249371247036747</v>
      </c>
      <c r="AN21">
        <v>0</v>
      </c>
      <c r="AO21">
        <v>22.924585934483389</v>
      </c>
      <c r="AP21">
        <v>10.57300278796208</v>
      </c>
      <c r="AQ21">
        <v>66.502411277554529</v>
      </c>
      <c r="AR21">
        <v>4.6258537929212746</v>
      </c>
      <c r="AS21">
        <v>12.803217070629961</v>
      </c>
      <c r="AT21">
        <v>82.570929136448768</v>
      </c>
      <c r="AU21">
        <v>8.5543859463340901</v>
      </c>
      <c r="AV21">
        <v>14.06540460221362</v>
      </c>
      <c r="AW21">
        <v>76.831737521913141</v>
      </c>
      <c r="AX21">
        <v>0.5484719295391346</v>
      </c>
      <c r="AY21">
        <v>1763.0186823042491</v>
      </c>
      <c r="AZ21">
        <v>166257.13863981949</v>
      </c>
      <c r="BA21">
        <v>0</v>
      </c>
      <c r="BB21">
        <v>0.15197517201558969</v>
      </c>
      <c r="BC21">
        <v>0.1050858875042102</v>
      </c>
      <c r="BD21">
        <v>0.51982389452918254</v>
      </c>
      <c r="BE21">
        <v>7.9391810614444502E-4</v>
      </c>
      <c r="BF21">
        <v>0.22232112784487321</v>
      </c>
    </row>
    <row r="22" spans="2:58">
      <c r="B22">
        <v>7800</v>
      </c>
      <c r="C22" t="s">
        <v>399</v>
      </c>
      <c r="D22" t="s">
        <v>400</v>
      </c>
      <c r="E22" t="s">
        <v>276</v>
      </c>
      <c r="F22" t="s">
        <v>277</v>
      </c>
      <c r="G22">
        <v>8529</v>
      </c>
      <c r="H22">
        <v>680</v>
      </c>
      <c r="I22" t="s">
        <v>329</v>
      </c>
      <c r="J22" s="169" t="s">
        <v>401</v>
      </c>
      <c r="K22" s="169" t="s">
        <v>402</v>
      </c>
      <c r="L22">
        <v>23.9</v>
      </c>
      <c r="M22" t="s">
        <v>339</v>
      </c>
      <c r="N22" t="s">
        <v>301</v>
      </c>
      <c r="O22" t="s">
        <v>403</v>
      </c>
      <c r="P22">
        <v>0</v>
      </c>
      <c r="Q22">
        <v>0</v>
      </c>
      <c r="R22">
        <v>1.37724550898</v>
      </c>
      <c r="S22">
        <v>10.93892897063307</v>
      </c>
      <c r="T22">
        <v>6.4678386342851333</v>
      </c>
      <c r="U22">
        <v>2.9112895030992778</v>
      </c>
      <c r="V22">
        <v>2.0069098668834471</v>
      </c>
      <c r="W22">
        <v>0.1066964739355757</v>
      </c>
      <c r="X22">
        <v>0.77568336551163497</v>
      </c>
      <c r="Y22">
        <v>14</v>
      </c>
      <c r="Z22">
        <v>2.5049699544906621</v>
      </c>
      <c r="AA22">
        <v>8.5269998759031296E-2</v>
      </c>
      <c r="AB22">
        <v>29.98714670324809</v>
      </c>
      <c r="AC22" t="s">
        <v>404</v>
      </c>
      <c r="AD22">
        <v>3.5461168958736522</v>
      </c>
      <c r="AE22">
        <v>79764.149999999907</v>
      </c>
      <c r="AF22">
        <v>79764</v>
      </c>
      <c r="AG22">
        <v>19.683454283660041</v>
      </c>
      <c r="AH22">
        <v>61.303144275613057</v>
      </c>
      <c r="AI22">
        <v>16.644513815756351</v>
      </c>
      <c r="AJ22">
        <v>16.686475101549568</v>
      </c>
      <c r="AK22">
        <v>4.1843688882202494</v>
      </c>
      <c r="AL22">
        <v>0</v>
      </c>
      <c r="AM22">
        <v>1.1798806479113371</v>
      </c>
      <c r="AN22">
        <v>1.8053257108469991E-3</v>
      </c>
      <c r="AO22">
        <v>14.422950875325171</v>
      </c>
      <c r="AP22">
        <v>14.45610163068589</v>
      </c>
      <c r="AQ22">
        <v>71.120947493988922</v>
      </c>
      <c r="AR22">
        <v>1.625901133822387</v>
      </c>
      <c r="AS22">
        <v>5.3502737578834312</v>
      </c>
      <c r="AT22">
        <v>93.023825108294176</v>
      </c>
      <c r="AU22">
        <v>9.7889101543626253</v>
      </c>
      <c r="AV22">
        <v>9.8945465970046431</v>
      </c>
      <c r="AW22">
        <v>76.770425908183739</v>
      </c>
      <c r="AX22">
        <v>3.5461173404489879</v>
      </c>
      <c r="AY22">
        <v>1519.1440404954999</v>
      </c>
      <c r="AZ22">
        <v>79731.04586947849</v>
      </c>
      <c r="BA22">
        <v>0</v>
      </c>
      <c r="BB22">
        <v>9.0188205771643659E-2</v>
      </c>
      <c r="BC22">
        <v>7.0263488080301126E-2</v>
      </c>
      <c r="BD22">
        <v>0.57048933500627352</v>
      </c>
      <c r="BE22">
        <v>1.003764115432873E-4</v>
      </c>
      <c r="BF22">
        <v>0.26895859473023842</v>
      </c>
    </row>
    <row r="23" spans="2:58">
      <c r="B23">
        <v>8185</v>
      </c>
      <c r="C23" t="s">
        <v>405</v>
      </c>
      <c r="D23" t="s">
        <v>406</v>
      </c>
      <c r="E23" t="s">
        <v>276</v>
      </c>
      <c r="F23" t="s">
        <v>277</v>
      </c>
      <c r="G23">
        <v>10013</v>
      </c>
      <c r="H23">
        <v>1075</v>
      </c>
      <c r="I23" t="s">
        <v>352</v>
      </c>
      <c r="J23" s="169" t="s">
        <v>407</v>
      </c>
      <c r="K23" s="169" t="s">
        <v>408</v>
      </c>
      <c r="L23">
        <v>18.600000000000001</v>
      </c>
      <c r="M23" t="s">
        <v>409</v>
      </c>
      <c r="N23" t="s">
        <v>410</v>
      </c>
      <c r="O23" t="s">
        <v>373</v>
      </c>
      <c r="P23">
        <v>0</v>
      </c>
      <c r="Q23">
        <v>0</v>
      </c>
      <c r="R23">
        <v>0.99024390244000005</v>
      </c>
      <c r="S23">
        <v>9.3338365729382904</v>
      </c>
      <c r="T23">
        <v>4.442347612757124</v>
      </c>
      <c r="U23">
        <v>1.996603132666541</v>
      </c>
      <c r="V23">
        <v>0.45668994149839598</v>
      </c>
      <c r="W23">
        <v>6.7937346669182871E-2</v>
      </c>
      <c r="X23">
        <v>0.83702585393470463</v>
      </c>
      <c r="Y23">
        <v>3</v>
      </c>
      <c r="Z23">
        <v>1.2696700096130371</v>
      </c>
      <c r="AA23">
        <v>-9.1249998658895493E-3</v>
      </c>
      <c r="AB23">
        <v>25.42230410615668</v>
      </c>
      <c r="AC23" t="s">
        <v>411</v>
      </c>
      <c r="AD23">
        <v>4.7580145158217331</v>
      </c>
      <c r="AE23">
        <v>107338.05</v>
      </c>
      <c r="AF23">
        <v>107338</v>
      </c>
      <c r="AG23">
        <v>15.397382382109599</v>
      </c>
      <c r="AH23">
        <v>45.344127895060367</v>
      </c>
      <c r="AI23">
        <v>29.053112597588921</v>
      </c>
      <c r="AJ23">
        <v>20.83518418453847</v>
      </c>
      <c r="AK23">
        <v>4.7676219046376778</v>
      </c>
      <c r="AL23">
        <v>0</v>
      </c>
      <c r="AM23">
        <v>0</v>
      </c>
      <c r="AN23">
        <v>0</v>
      </c>
      <c r="AO23">
        <v>1.282496707003099</v>
      </c>
      <c r="AP23">
        <v>24.068186146833089</v>
      </c>
      <c r="AQ23">
        <v>74.64931714616381</v>
      </c>
      <c r="AR23">
        <v>0.31531154531517291</v>
      </c>
      <c r="AS23">
        <v>13.08339289716894</v>
      </c>
      <c r="AT23">
        <v>86.601295557515883</v>
      </c>
      <c r="AU23">
        <v>14.714634252684361</v>
      </c>
      <c r="AV23">
        <v>0.68274956390111285</v>
      </c>
      <c r="AW23">
        <v>79.84460122431895</v>
      </c>
      <c r="AX23">
        <v>4.758014959095588</v>
      </c>
      <c r="AY23">
        <v>1505.6416319176151</v>
      </c>
      <c r="AZ23">
        <v>107364.4128568423</v>
      </c>
      <c r="BA23">
        <v>0</v>
      </c>
      <c r="BB23">
        <v>4.2529420527335021E-2</v>
      </c>
      <c r="BC23">
        <v>7.8653359153880525E-2</v>
      </c>
      <c r="BD23">
        <v>0.66024877104126323</v>
      </c>
      <c r="BE23">
        <v>0</v>
      </c>
      <c r="BF23">
        <v>0.2185684492775212</v>
      </c>
    </row>
    <row r="24" spans="2:58">
      <c r="B24">
        <v>8535</v>
      </c>
      <c r="C24" t="s">
        <v>412</v>
      </c>
      <c r="D24" t="s">
        <v>413</v>
      </c>
      <c r="E24" t="s">
        <v>276</v>
      </c>
      <c r="F24" t="s">
        <v>277</v>
      </c>
      <c r="G24">
        <v>18</v>
      </c>
      <c r="H24">
        <v>25</v>
      </c>
      <c r="I24" t="s">
        <v>278</v>
      </c>
      <c r="J24" s="169"/>
      <c r="K24" s="169"/>
      <c r="L24">
        <v>9.1999999999999993</v>
      </c>
      <c r="M24" t="s">
        <v>414</v>
      </c>
      <c r="N24" t="s">
        <v>415</v>
      </c>
      <c r="P24">
        <v>0</v>
      </c>
      <c r="Q24">
        <v>0</v>
      </c>
      <c r="R24">
        <v>1.3394736842099999</v>
      </c>
      <c r="S24">
        <v>6.6603152199482469</v>
      </c>
      <c r="T24">
        <v>3.025405786873677</v>
      </c>
      <c r="U24">
        <v>1.9701246765466951</v>
      </c>
      <c r="V24">
        <v>1.250058809691837</v>
      </c>
      <c r="W24">
        <v>0.63020465772759349</v>
      </c>
      <c r="X24">
        <v>0.86463890849211955</v>
      </c>
      <c r="Z24">
        <v>1.930890002250671</v>
      </c>
      <c r="AA24">
        <v>-2.3425999861210588E-2</v>
      </c>
      <c r="AB24">
        <v>11.61582158079845</v>
      </c>
      <c r="AC24" t="s">
        <v>416</v>
      </c>
      <c r="AD24">
        <v>22.252825732356008</v>
      </c>
      <c r="AE24">
        <v>1254227.9499999899</v>
      </c>
      <c r="AF24">
        <v>1730197</v>
      </c>
      <c r="AG24">
        <v>30.87485652030016</v>
      </c>
      <c r="AH24">
        <v>35.337202064273548</v>
      </c>
      <c r="AI24">
        <v>9.4253897099578836</v>
      </c>
      <c r="AJ24">
        <v>10.170659179272651</v>
      </c>
      <c r="AK24">
        <v>16.494436182700529</v>
      </c>
      <c r="AL24">
        <v>27.509536775292059</v>
      </c>
      <c r="AM24">
        <v>0.7564225345437543</v>
      </c>
      <c r="AN24">
        <v>0.30636106755473508</v>
      </c>
      <c r="AO24">
        <v>12.643500841286111</v>
      </c>
      <c r="AP24">
        <v>46.638428672953793</v>
      </c>
      <c r="AQ24">
        <v>40.718070485760101</v>
      </c>
      <c r="AR24">
        <v>3.0944124157664561</v>
      </c>
      <c r="AS24">
        <v>4.6658217939031967</v>
      </c>
      <c r="AT24">
        <v>92.239765790330353</v>
      </c>
      <c r="AU24">
        <v>23.741549532523191</v>
      </c>
      <c r="AV24">
        <v>7.1333069877768507</v>
      </c>
      <c r="AW24">
        <v>46.872317747344042</v>
      </c>
      <c r="AX24">
        <v>22.25282573235592</v>
      </c>
      <c r="AY24">
        <v>5360.5359621656144</v>
      </c>
      <c r="AZ24">
        <v>1723058.5445184789</v>
      </c>
      <c r="BA24">
        <v>2.6707794860368391E-2</v>
      </c>
      <c r="BB24">
        <v>2.5254846256684491E-2</v>
      </c>
      <c r="BC24">
        <v>0.27938391265597151</v>
      </c>
      <c r="BD24">
        <v>0.44214432932263809</v>
      </c>
      <c r="BE24">
        <v>0</v>
      </c>
      <c r="BF24">
        <v>0.2265091169043375</v>
      </c>
    </row>
    <row r="25" spans="2:58">
      <c r="B25">
        <v>8696</v>
      </c>
      <c r="C25" t="s">
        <v>417</v>
      </c>
      <c r="D25" t="s">
        <v>418</v>
      </c>
      <c r="E25" t="s">
        <v>276</v>
      </c>
      <c r="F25" t="s">
        <v>277</v>
      </c>
      <c r="G25">
        <v>-99999999</v>
      </c>
      <c r="H25">
        <v>5</v>
      </c>
      <c r="I25" t="s">
        <v>278</v>
      </c>
      <c r="J25" s="169"/>
      <c r="K25" s="169"/>
      <c r="P25">
        <v>0</v>
      </c>
      <c r="Q25">
        <v>0</v>
      </c>
      <c r="R25">
        <v>6.349206349E-2</v>
      </c>
      <c r="S25">
        <v>12.47805240175887</v>
      </c>
      <c r="T25">
        <v>8.9542030258839169</v>
      </c>
      <c r="U25">
        <v>5.414644521893381</v>
      </c>
      <c r="V25">
        <v>4.6118107620039286</v>
      </c>
      <c r="W25">
        <v>1.821285729577786</v>
      </c>
      <c r="X25">
        <v>0.66720003558882124</v>
      </c>
      <c r="Z25">
        <v>7.2985935211181641</v>
      </c>
      <c r="AA25">
        <v>0.43767354032024741</v>
      </c>
      <c r="AB25">
        <v>37.083391104770833</v>
      </c>
      <c r="AD25">
        <v>7.9285145993860412E-2</v>
      </c>
      <c r="AE25">
        <v>2916069.54999999</v>
      </c>
      <c r="AF25">
        <v>2916070</v>
      </c>
      <c r="AG25">
        <v>28.982133159341139</v>
      </c>
      <c r="AH25">
        <v>31.52811283679744</v>
      </c>
      <c r="AI25">
        <v>51.500453349885262</v>
      </c>
      <c r="AJ25">
        <v>12.527167729169699</v>
      </c>
      <c r="AK25">
        <v>8.1178778287215328E-2</v>
      </c>
      <c r="AL25">
        <v>0</v>
      </c>
      <c r="AM25">
        <v>4.3569166720963146</v>
      </c>
      <c r="AN25">
        <v>6.1552020356164276E-3</v>
      </c>
      <c r="AO25">
        <v>35.27178761764528</v>
      </c>
      <c r="AP25">
        <v>9.7678370501640668</v>
      </c>
      <c r="AQ25">
        <v>54.960375332190658</v>
      </c>
      <c r="AR25">
        <v>11.13873985795618</v>
      </c>
      <c r="AS25">
        <v>17.164713795031929</v>
      </c>
      <c r="AT25">
        <v>71.696546347011875</v>
      </c>
      <c r="AU25">
        <v>12.09041773369224</v>
      </c>
      <c r="AV25">
        <v>16.89171542564884</v>
      </c>
      <c r="AW25">
        <v>70.938581694665075</v>
      </c>
      <c r="AX25">
        <v>7.9285145993860245E-2</v>
      </c>
      <c r="AY25">
        <v>10062.83967038644</v>
      </c>
      <c r="AZ25">
        <v>2915610.4231170681</v>
      </c>
      <c r="BA25">
        <v>4.5661593156315967E-2</v>
      </c>
      <c r="BB25">
        <v>0.12197684482245461</v>
      </c>
      <c r="BC25">
        <v>7.6360514126688261E-2</v>
      </c>
      <c r="BD25">
        <v>0.61103498788200483</v>
      </c>
      <c r="BE25">
        <v>4.1147691408773511E-6</v>
      </c>
      <c r="BF25">
        <v>0.14496194524339551</v>
      </c>
    </row>
    <row r="26" spans="2:58">
      <c r="B26">
        <v>8899</v>
      </c>
      <c r="C26" t="s">
        <v>419</v>
      </c>
      <c r="D26" t="s">
        <v>420</v>
      </c>
      <c r="E26" t="s">
        <v>276</v>
      </c>
      <c r="F26" t="s">
        <v>277</v>
      </c>
      <c r="G26">
        <v>2832</v>
      </c>
      <c r="H26">
        <v>710</v>
      </c>
      <c r="I26" t="s">
        <v>296</v>
      </c>
      <c r="J26" s="169" t="s">
        <v>421</v>
      </c>
      <c r="K26" s="169" t="s">
        <v>310</v>
      </c>
      <c r="L26">
        <v>12.4</v>
      </c>
      <c r="M26" t="s">
        <v>422</v>
      </c>
      <c r="N26" t="s">
        <v>423</v>
      </c>
      <c r="O26" t="s">
        <v>424</v>
      </c>
      <c r="P26">
        <v>0</v>
      </c>
      <c r="Q26">
        <v>0</v>
      </c>
      <c r="R26">
        <v>17.608677686</v>
      </c>
      <c r="S26">
        <v>8.8128127479716927</v>
      </c>
      <c r="T26">
        <v>3.5011578759858142</v>
      </c>
      <c r="U26">
        <v>1.59511586856893</v>
      </c>
      <c r="V26">
        <v>0.7028226263542291</v>
      </c>
      <c r="W26">
        <v>0.36922478988194518</v>
      </c>
      <c r="X26">
        <v>0.85018866091237388</v>
      </c>
      <c r="Y26">
        <v>1</v>
      </c>
      <c r="Z26">
        <v>2.371063311894734</v>
      </c>
      <c r="AA26">
        <v>9.3813332418600709E-2</v>
      </c>
      <c r="AB26">
        <v>50.917933113892943</v>
      </c>
      <c r="AC26" t="s">
        <v>425</v>
      </c>
      <c r="AD26">
        <v>6.0613260848546657</v>
      </c>
      <c r="AE26">
        <v>249781.149999999</v>
      </c>
      <c r="AF26">
        <v>250568</v>
      </c>
      <c r="AG26">
        <v>42.873127135494578</v>
      </c>
      <c r="AH26">
        <v>57.521179879314147</v>
      </c>
      <c r="AI26">
        <v>21.537450911528961</v>
      </c>
      <c r="AJ26">
        <v>13.80343459659653</v>
      </c>
      <c r="AK26">
        <v>6.7948461096388604</v>
      </c>
      <c r="AL26">
        <v>0.31417020529357298</v>
      </c>
      <c r="AM26">
        <v>2.9061971201430309E-2</v>
      </c>
      <c r="AN26">
        <v>0</v>
      </c>
      <c r="AO26">
        <v>43.22409813329903</v>
      </c>
      <c r="AP26">
        <v>22.885745870368002</v>
      </c>
      <c r="AQ26">
        <v>33.890155996332979</v>
      </c>
      <c r="AR26">
        <v>9.531751039312752</v>
      </c>
      <c r="AS26">
        <v>8.0018419021623988</v>
      </c>
      <c r="AT26">
        <v>82.466407058524851</v>
      </c>
      <c r="AU26">
        <v>14.93444220808667</v>
      </c>
      <c r="AV26">
        <v>27.93868664383551</v>
      </c>
      <c r="AW26">
        <v>51.065544820557697</v>
      </c>
      <c r="AX26">
        <v>6.0613263275201312</v>
      </c>
      <c r="AY26">
        <v>2397.5866295302508</v>
      </c>
      <c r="AZ26">
        <v>250335.05036234469</v>
      </c>
      <c r="BA26">
        <v>0</v>
      </c>
      <c r="BB26">
        <v>0.199297068455947</v>
      </c>
      <c r="BC26">
        <v>9.9832254972441886E-2</v>
      </c>
      <c r="BD26">
        <v>0.50543973160795586</v>
      </c>
      <c r="BE26">
        <v>0</v>
      </c>
      <c r="BF26">
        <v>0.19543094496365521</v>
      </c>
    </row>
    <row r="27" spans="2:58">
      <c r="B27">
        <v>9126</v>
      </c>
      <c r="C27" t="s">
        <v>426</v>
      </c>
      <c r="D27" t="s">
        <v>427</v>
      </c>
      <c r="E27" t="s">
        <v>276</v>
      </c>
      <c r="F27" t="s">
        <v>277</v>
      </c>
      <c r="G27">
        <v>34</v>
      </c>
      <c r="H27">
        <v>20</v>
      </c>
      <c r="J27" s="169"/>
      <c r="K27" s="169"/>
      <c r="L27">
        <v>13.7</v>
      </c>
      <c r="M27" t="s">
        <v>428</v>
      </c>
      <c r="N27" t="s">
        <v>429</v>
      </c>
      <c r="P27">
        <v>0</v>
      </c>
      <c r="Q27">
        <v>0</v>
      </c>
      <c r="R27">
        <v>0.75</v>
      </c>
      <c r="S27">
        <v>8.4795988146797363</v>
      </c>
      <c r="T27">
        <v>5.3442355346073809</v>
      </c>
      <c r="U27">
        <v>2.733148525335118</v>
      </c>
      <c r="V27">
        <v>1.6198886740148679</v>
      </c>
      <c r="W27">
        <v>1.862541085465121</v>
      </c>
      <c r="X27">
        <v>0.79960587365897773</v>
      </c>
      <c r="Z27">
        <v>5.6593510839674206</v>
      </c>
      <c r="AA27">
        <v>0.29531999594635427</v>
      </c>
      <c r="AB27">
        <v>76.699572565833677</v>
      </c>
      <c r="AC27" t="s">
        <v>430</v>
      </c>
      <c r="AD27">
        <v>0.75465433720912356</v>
      </c>
      <c r="AE27">
        <v>551304.06000000006</v>
      </c>
      <c r="AF27">
        <v>551304</v>
      </c>
      <c r="AG27">
        <v>62.826524440977238</v>
      </c>
      <c r="AH27">
        <v>73.593917330547214</v>
      </c>
      <c r="AI27">
        <v>17.854564813605549</v>
      </c>
      <c r="AJ27">
        <v>6.0951888613178937</v>
      </c>
      <c r="AK27">
        <v>1.329362747232014</v>
      </c>
      <c r="AL27">
        <v>0</v>
      </c>
      <c r="AM27">
        <v>0.1020525880457967</v>
      </c>
      <c r="AN27">
        <v>1.024924542539142</v>
      </c>
      <c r="AO27">
        <v>44.626811267627993</v>
      </c>
      <c r="AP27">
        <v>21.663500615353389</v>
      </c>
      <c r="AQ27">
        <v>33.709688117018608</v>
      </c>
      <c r="AR27">
        <v>52.548999608159598</v>
      </c>
      <c r="AS27">
        <v>22.04892204265386</v>
      </c>
      <c r="AT27">
        <v>25.402078349186549</v>
      </c>
      <c r="AU27">
        <v>19.884344766116911</v>
      </c>
      <c r="AV27">
        <v>42.94217967486037</v>
      </c>
      <c r="AW27">
        <v>36.418821221813602</v>
      </c>
      <c r="AX27">
        <v>0.75465433720912412</v>
      </c>
      <c r="AY27">
        <v>3542.9518372715752</v>
      </c>
      <c r="AZ27">
        <v>551325.10664027918</v>
      </c>
      <c r="BA27">
        <v>0.27402297850117502</v>
      </c>
      <c r="BB27">
        <v>6.9856674500246616E-2</v>
      </c>
      <c r="BC27">
        <v>9.2820669045753909E-2</v>
      </c>
      <c r="BD27">
        <v>0.47563611570487713</v>
      </c>
      <c r="BE27">
        <v>0</v>
      </c>
      <c r="BF27">
        <v>8.7663562247947316E-2</v>
      </c>
    </row>
    <row r="28" spans="2:58">
      <c r="B28">
        <v>9135</v>
      </c>
      <c r="C28" t="s">
        <v>431</v>
      </c>
      <c r="D28" t="s">
        <v>432</v>
      </c>
      <c r="E28" t="s">
        <v>276</v>
      </c>
      <c r="F28" t="s">
        <v>277</v>
      </c>
      <c r="G28">
        <v>10495</v>
      </c>
      <c r="H28">
        <v>1730</v>
      </c>
      <c r="I28" t="s">
        <v>329</v>
      </c>
      <c r="J28" s="169" t="s">
        <v>433</v>
      </c>
      <c r="K28" s="169" t="s">
        <v>434</v>
      </c>
      <c r="L28">
        <v>20</v>
      </c>
      <c r="M28" t="s">
        <v>435</v>
      </c>
      <c r="N28" t="s">
        <v>436</v>
      </c>
      <c r="O28" t="s">
        <v>437</v>
      </c>
      <c r="P28">
        <v>0</v>
      </c>
      <c r="Q28">
        <v>0</v>
      </c>
      <c r="R28">
        <v>1.0654999999999999</v>
      </c>
      <c r="S28">
        <v>14.1046114537012</v>
      </c>
      <c r="T28">
        <v>10.71174114930103</v>
      </c>
      <c r="U28">
        <v>4.6605901284917577</v>
      </c>
      <c r="V28">
        <v>0.85251701348794928</v>
      </c>
      <c r="W28">
        <v>0.1105569614033364</v>
      </c>
      <c r="X28">
        <v>0.69559983293614724</v>
      </c>
      <c r="Y28">
        <v>7</v>
      </c>
      <c r="Z28">
        <v>3.678409973780314</v>
      </c>
      <c r="AA28">
        <v>0.259293332695961</v>
      </c>
      <c r="AB28">
        <v>32.174211158532508</v>
      </c>
      <c r="AC28" t="s">
        <v>438</v>
      </c>
      <c r="AD28">
        <v>0</v>
      </c>
      <c r="AE28">
        <v>164888.239999999</v>
      </c>
      <c r="AF28">
        <v>164888</v>
      </c>
      <c r="AG28">
        <v>13.942534652562321</v>
      </c>
      <c r="AH28">
        <v>46.582989665712418</v>
      </c>
      <c r="AI28">
        <v>17.824420212507821</v>
      </c>
      <c r="AJ28">
        <v>27.284126194750371</v>
      </c>
      <c r="AK28">
        <v>0</v>
      </c>
      <c r="AL28">
        <v>0</v>
      </c>
      <c r="AM28">
        <v>8.2462944544174821</v>
      </c>
      <c r="AN28">
        <v>6.2315025957013249E-2</v>
      </c>
      <c r="AO28">
        <v>11.53352126083977</v>
      </c>
      <c r="AP28">
        <v>9.52946604702319</v>
      </c>
      <c r="AQ28">
        <v>78.937012692137031</v>
      </c>
      <c r="AR28">
        <v>4.064670250385058</v>
      </c>
      <c r="AS28">
        <v>10.43383997389618</v>
      </c>
      <c r="AT28">
        <v>85.501489775718767</v>
      </c>
      <c r="AU28">
        <v>6.8042996880796434</v>
      </c>
      <c r="AV28">
        <v>7.138234964482618</v>
      </c>
      <c r="AW28">
        <v>86.057465347437741</v>
      </c>
      <c r="AX28">
        <v>0</v>
      </c>
      <c r="AY28">
        <v>1705.09750619793</v>
      </c>
      <c r="AZ28">
        <v>164942.6294863807</v>
      </c>
      <c r="BA28">
        <v>0</v>
      </c>
      <c r="BB28">
        <v>9.7248151291065579E-2</v>
      </c>
      <c r="BC28">
        <v>9.12353012486362E-2</v>
      </c>
      <c r="BD28">
        <v>0.51317735483088855</v>
      </c>
      <c r="BE28">
        <v>5.7461510486119527E-3</v>
      </c>
      <c r="BF28">
        <v>0.29259304158079769</v>
      </c>
    </row>
    <row r="29" spans="2:58">
      <c r="B29">
        <v>9917</v>
      </c>
      <c r="C29" t="s">
        <v>439</v>
      </c>
      <c r="D29" t="s">
        <v>440</v>
      </c>
      <c r="E29" t="s">
        <v>276</v>
      </c>
      <c r="F29" t="s">
        <v>277</v>
      </c>
      <c r="G29">
        <v>9052</v>
      </c>
      <c r="H29">
        <v>2460</v>
      </c>
      <c r="I29" t="s">
        <v>441</v>
      </c>
      <c r="J29" s="169" t="s">
        <v>442</v>
      </c>
      <c r="K29" s="169" t="s">
        <v>443</v>
      </c>
      <c r="L29">
        <v>16.5</v>
      </c>
      <c r="M29" t="s">
        <v>429</v>
      </c>
      <c r="N29" t="s">
        <v>444</v>
      </c>
      <c r="O29" t="s">
        <v>445</v>
      </c>
      <c r="P29">
        <v>5.4794520499999999E-3</v>
      </c>
      <c r="Q29">
        <v>5.4794520499999999E-3</v>
      </c>
      <c r="R29">
        <v>6.2155251141600001</v>
      </c>
      <c r="S29">
        <v>13.08376409599428</v>
      </c>
      <c r="T29">
        <v>8.8441657107956324</v>
      </c>
      <c r="U29">
        <v>5.0604060838087861</v>
      </c>
      <c r="V29">
        <v>2.6054313337007851</v>
      </c>
      <c r="W29">
        <v>0.3470929106645414</v>
      </c>
      <c r="X29">
        <v>0.7005913986503598</v>
      </c>
      <c r="Y29">
        <v>7</v>
      </c>
      <c r="Z29">
        <v>2.9194666544596348</v>
      </c>
      <c r="AA29">
        <v>0.1277000022431215</v>
      </c>
      <c r="AB29">
        <v>38.333156431545063</v>
      </c>
      <c r="AC29" t="s">
        <v>446</v>
      </c>
      <c r="AD29">
        <v>0</v>
      </c>
      <c r="AE29">
        <v>271999.65999999898</v>
      </c>
      <c r="AF29">
        <v>272000</v>
      </c>
      <c r="AG29">
        <v>17.174958968698739</v>
      </c>
      <c r="AH29">
        <v>49.968852941176472</v>
      </c>
      <c r="AI29">
        <v>22.272654411764709</v>
      </c>
      <c r="AJ29">
        <v>26.55035294117647</v>
      </c>
      <c r="AK29">
        <v>0</v>
      </c>
      <c r="AL29">
        <v>0</v>
      </c>
      <c r="AM29">
        <v>1.2080147058823529</v>
      </c>
      <c r="AN29">
        <v>0</v>
      </c>
      <c r="AO29">
        <v>15.39576712787566</v>
      </c>
      <c r="AP29">
        <v>8.6892069824673097</v>
      </c>
      <c r="AQ29">
        <v>75.915025889657016</v>
      </c>
      <c r="AR29">
        <v>9.2931981680252367</v>
      </c>
      <c r="AS29">
        <v>12.44686094561356</v>
      </c>
      <c r="AT29">
        <v>78.259940886361207</v>
      </c>
      <c r="AU29">
        <v>7.2045567998136439</v>
      </c>
      <c r="AV29">
        <v>9.9704021688851121</v>
      </c>
      <c r="AW29">
        <v>82.82504103130124</v>
      </c>
      <c r="AX29">
        <v>0</v>
      </c>
      <c r="AY29">
        <v>2325.5748429410751</v>
      </c>
      <c r="AZ29">
        <v>272100.78131340008</v>
      </c>
      <c r="BA29">
        <v>0</v>
      </c>
      <c r="BB29">
        <v>0.13285716385226989</v>
      </c>
      <c r="BC29">
        <v>0.13929426979997939</v>
      </c>
      <c r="BD29">
        <v>0.45627029966344812</v>
      </c>
      <c r="BE29">
        <v>0</v>
      </c>
      <c r="BF29">
        <v>0.27157826668430263</v>
      </c>
    </row>
    <row r="30" spans="2:58">
      <c r="B30">
        <v>10123</v>
      </c>
      <c r="C30" t="s">
        <v>447</v>
      </c>
      <c r="D30" t="s">
        <v>448</v>
      </c>
      <c r="E30" t="s">
        <v>276</v>
      </c>
      <c r="F30" t="s">
        <v>277</v>
      </c>
      <c r="G30">
        <v>2454</v>
      </c>
      <c r="H30">
        <v>1160</v>
      </c>
      <c r="I30" t="s">
        <v>441</v>
      </c>
      <c r="J30" s="169" t="s">
        <v>449</v>
      </c>
      <c r="K30" s="169" t="s">
        <v>450</v>
      </c>
      <c r="L30">
        <v>9.8000000000000007</v>
      </c>
      <c r="M30" t="s">
        <v>451</v>
      </c>
      <c r="N30" t="s">
        <v>452</v>
      </c>
      <c r="O30" t="s">
        <v>453</v>
      </c>
      <c r="P30">
        <v>0</v>
      </c>
      <c r="Q30">
        <v>0</v>
      </c>
      <c r="R30">
        <v>1</v>
      </c>
      <c r="S30">
        <v>9.2217858796494774</v>
      </c>
      <c r="T30">
        <v>4.9448664963215743</v>
      </c>
      <c r="U30">
        <v>2.8149812220259629</v>
      </c>
      <c r="V30">
        <v>1.954109718244645</v>
      </c>
      <c r="W30">
        <v>0.62936223483614284</v>
      </c>
      <c r="X30">
        <v>0.80434894448922201</v>
      </c>
      <c r="Y30">
        <v>7</v>
      </c>
      <c r="Z30">
        <v>2.5426124632358551</v>
      </c>
      <c r="AA30">
        <v>0.16698625078424811</v>
      </c>
      <c r="AB30">
        <v>57.922706443333198</v>
      </c>
      <c r="AC30" t="s">
        <v>454</v>
      </c>
      <c r="AD30">
        <v>1.550827804744475</v>
      </c>
      <c r="AE30">
        <v>451777.429999999</v>
      </c>
      <c r="AF30">
        <v>472757</v>
      </c>
      <c r="AG30">
        <v>49.188499744221467</v>
      </c>
      <c r="AH30">
        <v>49.452957862072687</v>
      </c>
      <c r="AI30">
        <v>26.532738806617331</v>
      </c>
      <c r="AJ30">
        <v>16.66653481598367</v>
      </c>
      <c r="AK30">
        <v>2.6962139111636612</v>
      </c>
      <c r="AL30">
        <v>4.4377343963177491</v>
      </c>
      <c r="AM30">
        <v>0.12683048585213949</v>
      </c>
      <c r="AN30">
        <v>8.7017220263264E-2</v>
      </c>
      <c r="AO30">
        <v>42.756519974651027</v>
      </c>
      <c r="AP30">
        <v>20.259493553937059</v>
      </c>
      <c r="AQ30">
        <v>36.983986471411903</v>
      </c>
      <c r="AR30">
        <v>24.059589562403438</v>
      </c>
      <c r="AS30">
        <v>28.9131400635817</v>
      </c>
      <c r="AT30">
        <v>47.027270374014847</v>
      </c>
      <c r="AU30">
        <v>18.556556995042559</v>
      </c>
      <c r="AV30">
        <v>30.631940571624401</v>
      </c>
      <c r="AW30">
        <v>49.260674697243083</v>
      </c>
      <c r="AX30">
        <v>1.55082773608997</v>
      </c>
      <c r="AY30">
        <v>3085.3217784519729</v>
      </c>
      <c r="AZ30">
        <v>472681.45666917402</v>
      </c>
      <c r="BA30">
        <v>7.0833967818892438E-2</v>
      </c>
      <c r="BB30">
        <v>0.17224167977936819</v>
      </c>
      <c r="BC30">
        <v>0.15204811938480281</v>
      </c>
      <c r="BD30">
        <v>0.38722230682029679</v>
      </c>
      <c r="BE30">
        <v>8.4598074547823296E-5</v>
      </c>
      <c r="BF30">
        <v>0.21756932812209201</v>
      </c>
    </row>
    <row r="31" spans="2:58">
      <c r="B31">
        <v>10303</v>
      </c>
      <c r="C31" t="s">
        <v>455</v>
      </c>
      <c r="D31" t="s">
        <v>456</v>
      </c>
      <c r="E31" t="s">
        <v>276</v>
      </c>
      <c r="F31" t="s">
        <v>277</v>
      </c>
      <c r="G31">
        <v>40</v>
      </c>
      <c r="H31">
        <v>60</v>
      </c>
      <c r="I31" t="s">
        <v>278</v>
      </c>
      <c r="J31" s="169"/>
      <c r="K31" s="169"/>
      <c r="L31">
        <v>13.6</v>
      </c>
      <c r="M31" t="s">
        <v>457</v>
      </c>
      <c r="N31" t="s">
        <v>291</v>
      </c>
      <c r="O31" t="s">
        <v>458</v>
      </c>
      <c r="P31">
        <v>0</v>
      </c>
      <c r="Q31">
        <v>0</v>
      </c>
      <c r="R31">
        <v>3.22909090909</v>
      </c>
      <c r="S31">
        <v>9.6932319662016617</v>
      </c>
      <c r="T31">
        <v>5.9722251270574951</v>
      </c>
      <c r="U31">
        <v>3.0457197833225269</v>
      </c>
      <c r="V31">
        <v>1.611224980653797</v>
      </c>
      <c r="W31">
        <v>0.54117081128563371</v>
      </c>
      <c r="X31">
        <v>0.79136427331478887</v>
      </c>
      <c r="Z31">
        <v>2.0793715165211601</v>
      </c>
      <c r="AA31">
        <v>3.849999766456536E-3</v>
      </c>
      <c r="AB31">
        <v>17.483924319640241</v>
      </c>
      <c r="AC31" t="s">
        <v>459</v>
      </c>
      <c r="AD31">
        <v>9.4399525605021068</v>
      </c>
      <c r="AE31">
        <v>1533338.32</v>
      </c>
      <c r="AF31">
        <v>1550540</v>
      </c>
      <c r="AG31">
        <v>11.26402749785839</v>
      </c>
      <c r="AH31">
        <v>37.38251189908032</v>
      </c>
      <c r="AI31">
        <v>27.474666890244691</v>
      </c>
      <c r="AJ31">
        <v>23.36522888800031</v>
      </c>
      <c r="AK31">
        <v>9.543549344099473</v>
      </c>
      <c r="AL31">
        <v>1.1094186541462969</v>
      </c>
      <c r="AM31">
        <v>1.09564603299495</v>
      </c>
      <c r="AN31">
        <v>2.899763953203394E-2</v>
      </c>
      <c r="AO31">
        <v>10.983379420141249</v>
      </c>
      <c r="AP31">
        <v>13.3950576815449</v>
      </c>
      <c r="AQ31">
        <v>75.621562898313854</v>
      </c>
      <c r="AR31">
        <v>2.3639636746644528</v>
      </c>
      <c r="AS31">
        <v>4.1105623704095846</v>
      </c>
      <c r="AT31">
        <v>93.525473954925957</v>
      </c>
      <c r="AU31">
        <v>6.2071109003523786</v>
      </c>
      <c r="AV31">
        <v>5.056916597506028</v>
      </c>
      <c r="AW31">
        <v>79.296019941639472</v>
      </c>
      <c r="AX31">
        <v>9.4399525605021211</v>
      </c>
      <c r="AY31">
        <v>5499.6868322954506</v>
      </c>
      <c r="AZ31">
        <v>1550181.3736101999</v>
      </c>
      <c r="BA31">
        <v>4.8863296285976696E-3</v>
      </c>
      <c r="BB31">
        <v>4.6567185742443472E-2</v>
      </c>
      <c r="BC31">
        <v>4.7364374683962311E-2</v>
      </c>
      <c r="BD31">
        <v>0.56961342786085056</v>
      </c>
      <c r="BE31">
        <v>6.1917587690783565E-4</v>
      </c>
      <c r="BF31">
        <v>0.33094950620723818</v>
      </c>
    </row>
    <row r="32" spans="2:58">
      <c r="B32">
        <v>10380</v>
      </c>
      <c r="C32" t="s">
        <v>460</v>
      </c>
      <c r="D32" t="s">
        <v>461</v>
      </c>
      <c r="E32" t="s">
        <v>276</v>
      </c>
      <c r="F32" t="s">
        <v>277</v>
      </c>
      <c r="G32">
        <v>7190</v>
      </c>
      <c r="H32">
        <v>2555</v>
      </c>
      <c r="I32" t="s">
        <v>352</v>
      </c>
      <c r="J32" s="169" t="s">
        <v>462</v>
      </c>
      <c r="K32" s="169" t="s">
        <v>463</v>
      </c>
      <c r="L32">
        <v>11.3</v>
      </c>
      <c r="M32" t="s">
        <v>308</v>
      </c>
      <c r="N32" t="s">
        <v>464</v>
      </c>
      <c r="O32" t="s">
        <v>291</v>
      </c>
      <c r="P32">
        <v>0</v>
      </c>
      <c r="Q32">
        <v>0</v>
      </c>
      <c r="R32">
        <v>20.891770573599999</v>
      </c>
      <c r="S32">
        <v>10.794802382241469</v>
      </c>
      <c r="T32">
        <v>5.1586356253383858</v>
      </c>
      <c r="U32">
        <v>2.8911748781808342</v>
      </c>
      <c r="V32">
        <v>2.4407146724417981</v>
      </c>
      <c r="W32">
        <v>1.1911207363291831E-2</v>
      </c>
      <c r="X32">
        <v>0.78702761234434215</v>
      </c>
      <c r="Y32">
        <v>1</v>
      </c>
      <c r="Z32">
        <v>1.32000998655955</v>
      </c>
      <c r="AA32">
        <v>-4.9034999373058483E-2</v>
      </c>
      <c r="AB32">
        <v>31.47495321677572</v>
      </c>
      <c r="AC32" t="s">
        <v>465</v>
      </c>
      <c r="AD32">
        <v>6.7869904492090116</v>
      </c>
      <c r="AE32">
        <v>363290.33</v>
      </c>
      <c r="AF32">
        <v>374785</v>
      </c>
      <c r="AG32">
        <v>25.51212689861574</v>
      </c>
      <c r="AH32">
        <v>45.58597062315728</v>
      </c>
      <c r="AI32">
        <v>26.689648731939609</v>
      </c>
      <c r="AJ32">
        <v>17.880238003121789</v>
      </c>
      <c r="AK32">
        <v>6.7771388929652749</v>
      </c>
      <c r="AL32">
        <v>3.0670250943874189</v>
      </c>
      <c r="AM32">
        <v>0</v>
      </c>
      <c r="AN32">
        <v>0</v>
      </c>
      <c r="AO32">
        <v>6.5089671381892433</v>
      </c>
      <c r="AP32">
        <v>33.219974225250517</v>
      </c>
      <c r="AQ32">
        <v>60.271058636560227</v>
      </c>
      <c r="AR32">
        <v>1.616324498544413</v>
      </c>
      <c r="AS32">
        <v>22.39022161617449</v>
      </c>
      <c r="AT32">
        <v>75.993453885281099</v>
      </c>
      <c r="AU32">
        <v>21.790860769677021</v>
      </c>
      <c r="AV32">
        <v>3.721266128938812</v>
      </c>
      <c r="AW32">
        <v>67.700882652175125</v>
      </c>
      <c r="AX32">
        <v>6.7869904492090347</v>
      </c>
      <c r="AY32">
        <v>3355.697492906821</v>
      </c>
      <c r="AZ32">
        <v>374685.82747898018</v>
      </c>
      <c r="BA32">
        <v>2.2102633096290599E-3</v>
      </c>
      <c r="BB32">
        <v>4.1706707668652698E-2</v>
      </c>
      <c r="BC32">
        <v>0.11024622546821281</v>
      </c>
      <c r="BD32">
        <v>0.57551199094539474</v>
      </c>
      <c r="BE32">
        <v>0</v>
      </c>
      <c r="BF32">
        <v>0.2703248126081107</v>
      </c>
    </row>
    <row r="33" spans="2:58">
      <c r="B33">
        <v>10544</v>
      </c>
      <c r="C33" t="s">
        <v>466</v>
      </c>
      <c r="D33" t="s">
        <v>467</v>
      </c>
      <c r="E33" t="s">
        <v>276</v>
      </c>
      <c r="F33" t="s">
        <v>277</v>
      </c>
      <c r="G33">
        <v>5126</v>
      </c>
      <c r="H33">
        <v>1320</v>
      </c>
      <c r="I33" t="s">
        <v>278</v>
      </c>
      <c r="J33" s="169" t="s">
        <v>468</v>
      </c>
      <c r="K33" s="169" t="s">
        <v>469</v>
      </c>
      <c r="L33">
        <v>18</v>
      </c>
      <c r="M33" t="s">
        <v>429</v>
      </c>
      <c r="N33" t="s">
        <v>470</v>
      </c>
      <c r="O33" t="s">
        <v>471</v>
      </c>
      <c r="P33">
        <v>0</v>
      </c>
      <c r="Q33">
        <v>0</v>
      </c>
      <c r="R33">
        <v>1.77350993377</v>
      </c>
      <c r="S33">
        <v>7.9264465921927956</v>
      </c>
      <c r="T33">
        <v>4.3570352704907744</v>
      </c>
      <c r="U33">
        <v>2.6092004518639391</v>
      </c>
      <c r="V33">
        <v>1.608196309777834</v>
      </c>
      <c r="W33">
        <v>1.721162294464667</v>
      </c>
      <c r="X33">
        <v>0.81777959081209994</v>
      </c>
      <c r="Y33">
        <v>4</v>
      </c>
      <c r="Z33">
        <v>2.874600013097127</v>
      </c>
      <c r="AA33">
        <v>8.8556665927171707E-2</v>
      </c>
      <c r="AB33">
        <v>31.368898409060041</v>
      </c>
      <c r="AC33" t="s">
        <v>472</v>
      </c>
      <c r="AD33">
        <v>1.627687686285286</v>
      </c>
      <c r="AE33">
        <v>258243.02999999901</v>
      </c>
      <c r="AF33">
        <v>258243</v>
      </c>
      <c r="AG33">
        <v>14.782346691022029</v>
      </c>
      <c r="AH33">
        <v>56.063935905329473</v>
      </c>
      <c r="AI33">
        <v>14.3204772249393</v>
      </c>
      <c r="AJ33">
        <v>25.7825768752686</v>
      </c>
      <c r="AK33">
        <v>2.0091154455299849</v>
      </c>
      <c r="AL33">
        <v>0</v>
      </c>
      <c r="AM33">
        <v>1.8108022289084269</v>
      </c>
      <c r="AN33">
        <v>1.310393698957958E-2</v>
      </c>
      <c r="AO33">
        <v>12.375724524416791</v>
      </c>
      <c r="AP33">
        <v>11.60344182855804</v>
      </c>
      <c r="AQ33">
        <v>76.020833647025171</v>
      </c>
      <c r="AR33">
        <v>1.9381784956477019</v>
      </c>
      <c r="AS33">
        <v>3.392386976993687</v>
      </c>
      <c r="AT33">
        <v>94.669434527358618</v>
      </c>
      <c r="AU33">
        <v>7.0287127218384846</v>
      </c>
      <c r="AV33">
        <v>7.7536345416034891</v>
      </c>
      <c r="AW33">
        <v>83.589964987243434</v>
      </c>
      <c r="AX33">
        <v>1.6276877493145809</v>
      </c>
      <c r="AY33">
        <v>3057.7885650667108</v>
      </c>
      <c r="AZ33">
        <v>258314.61580371179</v>
      </c>
      <c r="BA33">
        <v>1.548419064135518E-5</v>
      </c>
      <c r="BB33">
        <v>8.0053265615806266E-2</v>
      </c>
      <c r="BC33">
        <v>9.0133473723328486E-2</v>
      </c>
      <c r="BD33">
        <v>0.42418940261992499</v>
      </c>
      <c r="BE33">
        <v>5.7910872998668357E-3</v>
      </c>
      <c r="BF33">
        <v>0.39981728655043203</v>
      </c>
    </row>
    <row r="34" spans="2:58">
      <c r="B34">
        <v>10807</v>
      </c>
      <c r="C34" t="s">
        <v>473</v>
      </c>
      <c r="D34" t="s">
        <v>474</v>
      </c>
      <c r="E34" t="s">
        <v>276</v>
      </c>
      <c r="F34" t="s">
        <v>277</v>
      </c>
      <c r="G34">
        <v>17</v>
      </c>
      <c r="H34">
        <v>60</v>
      </c>
      <c r="J34" s="169" t="s">
        <v>475</v>
      </c>
      <c r="K34" s="169" t="s">
        <v>298</v>
      </c>
      <c r="L34">
        <v>7</v>
      </c>
      <c r="M34" t="s">
        <v>476</v>
      </c>
      <c r="N34" t="s">
        <v>355</v>
      </c>
      <c r="P34">
        <v>0</v>
      </c>
      <c r="Q34">
        <v>0</v>
      </c>
      <c r="R34">
        <v>6.6073770491800001</v>
      </c>
      <c r="S34">
        <v>10.397633203425031</v>
      </c>
      <c r="T34">
        <v>4.8804938412084313</v>
      </c>
      <c r="U34">
        <v>1.8110545330412771</v>
      </c>
      <c r="V34">
        <v>0.9137200238955423</v>
      </c>
      <c r="W34">
        <v>0.71584217563223618</v>
      </c>
      <c r="X34">
        <v>0.81281256222797482</v>
      </c>
      <c r="Z34">
        <v>1.8540960833674569</v>
      </c>
      <c r="AA34">
        <v>-5.4934180536322659E-2</v>
      </c>
      <c r="AB34">
        <v>10.475842605915</v>
      </c>
      <c r="AC34" t="s">
        <v>477</v>
      </c>
      <c r="AD34">
        <v>11.891798510009769</v>
      </c>
      <c r="AE34">
        <v>1830785.1399999899</v>
      </c>
      <c r="AF34">
        <v>3564759</v>
      </c>
      <c r="AG34">
        <v>52.567180548559847</v>
      </c>
      <c r="AH34">
        <v>34.555102603008777</v>
      </c>
      <c r="AI34">
        <v>7.7193546604412786</v>
      </c>
      <c r="AJ34">
        <v>1.50218654332593</v>
      </c>
      <c r="AK34">
        <v>6.2983738872669646</v>
      </c>
      <c r="AL34">
        <v>48.642110728943813</v>
      </c>
      <c r="AM34">
        <v>1.2826996158786581</v>
      </c>
      <c r="AN34">
        <v>1.7644951594203141E-4</v>
      </c>
      <c r="AO34">
        <v>9.3849362480441769</v>
      </c>
      <c r="AP34">
        <v>57.448832471713708</v>
      </c>
      <c r="AQ34">
        <v>33.166231280242101</v>
      </c>
      <c r="AR34">
        <v>22.12066675199382</v>
      </c>
      <c r="AS34">
        <v>23.553645847074591</v>
      </c>
      <c r="AT34">
        <v>54.325687400931599</v>
      </c>
      <c r="AU34">
        <v>42.509853996302397</v>
      </c>
      <c r="AV34">
        <v>10.05732655225726</v>
      </c>
      <c r="AW34">
        <v>35.541020941430602</v>
      </c>
      <c r="AX34">
        <v>11.891798510009719</v>
      </c>
      <c r="AY34">
        <v>10298.646659845739</v>
      </c>
      <c r="AZ34">
        <v>3561998.9751108801</v>
      </c>
      <c r="BA34">
        <v>2.8287291825246599E-2</v>
      </c>
      <c r="BB34">
        <v>1.337684878940361E-2</v>
      </c>
      <c r="BC34">
        <v>0.51907225406918911</v>
      </c>
      <c r="BD34">
        <v>0.35633275627078381</v>
      </c>
      <c r="BE34">
        <v>0</v>
      </c>
      <c r="BF34">
        <v>8.293084904537687E-2</v>
      </c>
    </row>
    <row r="35" spans="2:58">
      <c r="B35">
        <v>11719</v>
      </c>
      <c r="C35" t="s">
        <v>478</v>
      </c>
      <c r="D35" t="s">
        <v>479</v>
      </c>
      <c r="E35" t="s">
        <v>276</v>
      </c>
      <c r="F35" t="s">
        <v>277</v>
      </c>
      <c r="G35">
        <v>6083</v>
      </c>
      <c r="H35">
        <v>1070</v>
      </c>
      <c r="I35" t="s">
        <v>480</v>
      </c>
      <c r="J35" s="169" t="s">
        <v>481</v>
      </c>
      <c r="K35" s="169" t="s">
        <v>443</v>
      </c>
      <c r="L35">
        <v>18</v>
      </c>
      <c r="M35" t="s">
        <v>435</v>
      </c>
      <c r="N35" t="s">
        <v>396</v>
      </c>
      <c r="O35" t="s">
        <v>458</v>
      </c>
      <c r="P35">
        <v>0</v>
      </c>
      <c r="Q35">
        <v>0</v>
      </c>
      <c r="R35">
        <v>1</v>
      </c>
      <c r="S35">
        <v>9.7781885397412207</v>
      </c>
      <c r="T35">
        <v>5.3003696857670981</v>
      </c>
      <c r="U35">
        <v>4.0480591497227358</v>
      </c>
      <c r="V35">
        <v>2.1950092421441769</v>
      </c>
      <c r="W35">
        <v>0.32347504621072087</v>
      </c>
      <c r="X35">
        <v>0.78354898336414047</v>
      </c>
      <c r="Y35">
        <v>9</v>
      </c>
      <c r="Z35">
        <v>2.177014946937561</v>
      </c>
      <c r="AA35">
        <v>7.1745000779628754E-2</v>
      </c>
      <c r="AB35">
        <v>44.334089711824099</v>
      </c>
      <c r="AC35" t="s">
        <v>482</v>
      </c>
      <c r="AD35">
        <v>4.3578763604558537</v>
      </c>
      <c r="AE35">
        <v>175431.08999999901</v>
      </c>
      <c r="AF35">
        <v>175431</v>
      </c>
      <c r="AG35">
        <v>39.593717396386452</v>
      </c>
      <c r="AH35">
        <v>65.267957202546881</v>
      </c>
      <c r="AI35">
        <v>13.93303920059738</v>
      </c>
      <c r="AJ35">
        <v>16.199970358716481</v>
      </c>
      <c r="AK35">
        <v>4.5990845403605896</v>
      </c>
      <c r="AL35">
        <v>0</v>
      </c>
      <c r="AM35">
        <v>0</v>
      </c>
      <c r="AN35">
        <v>0</v>
      </c>
      <c r="AO35">
        <v>26.484438195839282</v>
      </c>
      <c r="AP35">
        <v>23.83258302909811</v>
      </c>
      <c r="AQ35">
        <v>49.682978775062622</v>
      </c>
      <c r="AR35">
        <v>13.29459265626333</v>
      </c>
      <c r="AS35">
        <v>27.80921389345848</v>
      </c>
      <c r="AT35">
        <v>58.89619345027819</v>
      </c>
      <c r="AU35">
        <v>20.1456492201952</v>
      </c>
      <c r="AV35">
        <v>19.448070433129651</v>
      </c>
      <c r="AW35">
        <v>56.048403737809728</v>
      </c>
      <c r="AX35">
        <v>4.3578766088654266</v>
      </c>
      <c r="AY35">
        <v>1824.2202872490791</v>
      </c>
      <c r="AZ35">
        <v>175405.30606873261</v>
      </c>
      <c r="BA35">
        <v>0</v>
      </c>
      <c r="BB35">
        <v>0.1235150603096427</v>
      </c>
      <c r="BC35">
        <v>0.14093531249287461</v>
      </c>
      <c r="BD35">
        <v>0.492213329685113</v>
      </c>
      <c r="BE35">
        <v>0</v>
      </c>
      <c r="BF35">
        <v>0.24333629751236971</v>
      </c>
    </row>
    <row r="36" spans="2:58">
      <c r="B36">
        <v>11778</v>
      </c>
      <c r="C36" t="s">
        <v>483</v>
      </c>
      <c r="D36" t="s">
        <v>484</v>
      </c>
      <c r="E36" t="s">
        <v>276</v>
      </c>
      <c r="F36" t="s">
        <v>277</v>
      </c>
      <c r="G36">
        <v>8609</v>
      </c>
      <c r="H36">
        <v>1840</v>
      </c>
      <c r="I36" t="s">
        <v>480</v>
      </c>
      <c r="J36" s="169" t="s">
        <v>485</v>
      </c>
      <c r="K36" s="169" t="s">
        <v>486</v>
      </c>
      <c r="L36">
        <v>29.3</v>
      </c>
      <c r="M36" t="s">
        <v>487</v>
      </c>
      <c r="N36" t="s">
        <v>488</v>
      </c>
      <c r="O36" t="s">
        <v>397</v>
      </c>
      <c r="P36">
        <v>0</v>
      </c>
      <c r="Q36">
        <v>0</v>
      </c>
      <c r="R36">
        <v>1</v>
      </c>
      <c r="S36">
        <v>12.56450144179693</v>
      </c>
      <c r="T36">
        <v>7.7989831537410836</v>
      </c>
      <c r="U36">
        <v>4.006677796327212</v>
      </c>
      <c r="V36">
        <v>2.0336925178327521</v>
      </c>
      <c r="W36">
        <v>6.6398543026255891E-2</v>
      </c>
      <c r="X36">
        <v>0.73529746547275765</v>
      </c>
      <c r="Y36">
        <v>12</v>
      </c>
      <c r="Z36">
        <v>2.3386367162068691</v>
      </c>
      <c r="AA36">
        <v>9.1730001072088882E-2</v>
      </c>
      <c r="AB36">
        <v>48.581043833737567</v>
      </c>
      <c r="AC36" t="s">
        <v>489</v>
      </c>
      <c r="AD36">
        <v>1.867440172164694</v>
      </c>
      <c r="AE36">
        <v>213549.01</v>
      </c>
      <c r="AF36">
        <v>213549</v>
      </c>
      <c r="AG36">
        <v>34.745185660191062</v>
      </c>
      <c r="AH36">
        <v>65.67230939971617</v>
      </c>
      <c r="AI36">
        <v>13.07696594224271</v>
      </c>
      <c r="AJ36">
        <v>18.86583875363495</v>
      </c>
      <c r="AK36">
        <v>2.2200431751026701</v>
      </c>
      <c r="AL36">
        <v>0</v>
      </c>
      <c r="AM36">
        <v>0.1648474120693611</v>
      </c>
      <c r="AN36">
        <v>0</v>
      </c>
      <c r="AO36">
        <v>29.861557708413031</v>
      </c>
      <c r="AP36">
        <v>16.46911012385328</v>
      </c>
      <c r="AQ36">
        <v>53.6693321677337</v>
      </c>
      <c r="AR36">
        <v>10.017324530934211</v>
      </c>
      <c r="AS36">
        <v>18.00143380367636</v>
      </c>
      <c r="AT36">
        <v>71.981241665389419</v>
      </c>
      <c r="AU36">
        <v>13.170528223992079</v>
      </c>
      <c r="AV36">
        <v>21.574660690270669</v>
      </c>
      <c r="AW36">
        <v>63.387370738676843</v>
      </c>
      <c r="AX36">
        <v>1.867440347060412</v>
      </c>
      <c r="AY36">
        <v>2076.4644042980308</v>
      </c>
      <c r="AZ36">
        <v>213607.07306145859</v>
      </c>
      <c r="BA36">
        <v>0</v>
      </c>
      <c r="BB36">
        <v>0.1133453156594024</v>
      </c>
      <c r="BC36">
        <v>0.13442672058713401</v>
      </c>
      <c r="BD36">
        <v>0.51059686961731443</v>
      </c>
      <c r="BE36">
        <v>0</v>
      </c>
      <c r="BF36">
        <v>0.24163109413614919</v>
      </c>
    </row>
    <row r="37" spans="2:58">
      <c r="B37">
        <v>12554</v>
      </c>
      <c r="C37" t="s">
        <v>490</v>
      </c>
      <c r="D37" t="s">
        <v>491</v>
      </c>
      <c r="E37" t="s">
        <v>276</v>
      </c>
      <c r="F37" t="s">
        <v>277</v>
      </c>
      <c r="G37">
        <v>10259</v>
      </c>
      <c r="H37">
        <v>1005</v>
      </c>
      <c r="I37" t="s">
        <v>361</v>
      </c>
      <c r="J37" s="169" t="s">
        <v>492</v>
      </c>
      <c r="K37" s="169" t="s">
        <v>493</v>
      </c>
      <c r="L37">
        <v>17.2</v>
      </c>
      <c r="M37" t="s">
        <v>494</v>
      </c>
      <c r="N37" t="s">
        <v>339</v>
      </c>
      <c r="O37" t="s">
        <v>493</v>
      </c>
      <c r="P37">
        <v>0</v>
      </c>
      <c r="Q37">
        <v>0</v>
      </c>
      <c r="R37">
        <v>3.8967661691500002</v>
      </c>
      <c r="S37">
        <v>13.58019572068336</v>
      </c>
      <c r="T37">
        <v>9.6201691822856183</v>
      </c>
      <c r="U37">
        <v>6.120417979764472</v>
      </c>
      <c r="V37">
        <v>3.6365898158898662</v>
      </c>
      <c r="W37">
        <v>0.23221098026206671</v>
      </c>
      <c r="X37">
        <v>0.66810416321114607</v>
      </c>
      <c r="Y37">
        <v>4</v>
      </c>
      <c r="Z37">
        <v>3.7962349653244019</v>
      </c>
      <c r="AA37">
        <v>0.19961000233888629</v>
      </c>
      <c r="AB37">
        <v>44.451266592511253</v>
      </c>
      <c r="AC37" t="s">
        <v>495</v>
      </c>
      <c r="AD37">
        <v>0</v>
      </c>
      <c r="AE37">
        <v>97697.11</v>
      </c>
      <c r="AF37">
        <v>97697</v>
      </c>
      <c r="AG37">
        <v>14.005009974194721</v>
      </c>
      <c r="AH37">
        <v>44.40279640111774</v>
      </c>
      <c r="AI37">
        <v>21.966222094844269</v>
      </c>
      <c r="AJ37">
        <v>33.6265187262659</v>
      </c>
      <c r="AK37">
        <v>0</v>
      </c>
      <c r="AL37">
        <v>0</v>
      </c>
      <c r="AM37">
        <v>4.5753707892770496E-3</v>
      </c>
      <c r="AN37">
        <v>0</v>
      </c>
      <c r="AO37">
        <v>17.28389512176172</v>
      </c>
      <c r="AP37">
        <v>8.8621055545835326</v>
      </c>
      <c r="AQ37">
        <v>73.853999323654733</v>
      </c>
      <c r="AR37">
        <v>3.6614051781099461</v>
      </c>
      <c r="AS37">
        <v>6.6130825513482083</v>
      </c>
      <c r="AT37">
        <v>89.725512270541856</v>
      </c>
      <c r="AU37">
        <v>5.3876613763025976</v>
      </c>
      <c r="AV37">
        <v>8.6173471643790425</v>
      </c>
      <c r="AW37">
        <v>85.994991459318356</v>
      </c>
      <c r="AX37">
        <v>0</v>
      </c>
      <c r="AY37">
        <v>1359.514876326883</v>
      </c>
      <c r="AZ37">
        <v>97766.801374511284</v>
      </c>
      <c r="BA37">
        <v>0</v>
      </c>
      <c r="BB37">
        <v>7.7750511247443768E-2</v>
      </c>
      <c r="BC37">
        <v>8.0245398773006141E-2</v>
      </c>
      <c r="BD37">
        <v>0.52633946830265854</v>
      </c>
      <c r="BE37">
        <v>1.4314928425357869E-3</v>
      </c>
      <c r="BF37">
        <v>0.31423312883435578</v>
      </c>
    </row>
    <row r="38" spans="2:58">
      <c r="B38">
        <v>13297</v>
      </c>
      <c r="C38" t="s">
        <v>496</v>
      </c>
      <c r="D38" t="s">
        <v>497</v>
      </c>
      <c r="E38" t="s">
        <v>276</v>
      </c>
      <c r="F38" t="s">
        <v>277</v>
      </c>
      <c r="G38">
        <v>9010</v>
      </c>
      <c r="H38">
        <v>2755</v>
      </c>
      <c r="I38" t="s">
        <v>361</v>
      </c>
      <c r="J38" s="169" t="s">
        <v>498</v>
      </c>
      <c r="K38" s="169" t="s">
        <v>499</v>
      </c>
      <c r="L38">
        <v>10.9</v>
      </c>
      <c r="M38" t="s">
        <v>451</v>
      </c>
      <c r="N38" t="s">
        <v>356</v>
      </c>
      <c r="O38" t="s">
        <v>500</v>
      </c>
      <c r="P38">
        <v>0</v>
      </c>
      <c r="Q38">
        <v>0</v>
      </c>
      <c r="R38">
        <v>1</v>
      </c>
      <c r="S38">
        <v>11.774757590208241</v>
      </c>
      <c r="T38">
        <v>7.5345731998092509</v>
      </c>
      <c r="U38">
        <v>4.0600328511630366</v>
      </c>
      <c r="V38">
        <v>1.820060403751391</v>
      </c>
      <c r="W38">
        <v>0.25300694113283528</v>
      </c>
      <c r="X38">
        <v>0.74557569013935254</v>
      </c>
      <c r="Y38">
        <v>3</v>
      </c>
      <c r="Z38">
        <v>3.393844032287598</v>
      </c>
      <c r="AA38">
        <v>0.22332599461078639</v>
      </c>
      <c r="AB38">
        <v>48.897904649468728</v>
      </c>
      <c r="AC38" t="s">
        <v>501</v>
      </c>
      <c r="AD38">
        <v>0.12189744170984811</v>
      </c>
      <c r="AE38">
        <v>305888.28999999899</v>
      </c>
      <c r="AF38">
        <v>305888</v>
      </c>
      <c r="AG38">
        <v>24.401551952184871</v>
      </c>
      <c r="AH38">
        <v>29.46831846950511</v>
      </c>
      <c r="AI38">
        <v>40.35938317292571</v>
      </c>
      <c r="AJ38">
        <v>29.73795310701956</v>
      </c>
      <c r="AK38">
        <v>0.18105646511141341</v>
      </c>
      <c r="AL38">
        <v>0</v>
      </c>
      <c r="AM38">
        <v>0.25338359137985111</v>
      </c>
      <c r="AN38">
        <v>0</v>
      </c>
      <c r="AO38">
        <v>21.53278148836166</v>
      </c>
      <c r="AP38">
        <v>12.08198797315946</v>
      </c>
      <c r="AQ38">
        <v>66.385230538478879</v>
      </c>
      <c r="AR38">
        <v>15.18431363908863</v>
      </c>
      <c r="AS38">
        <v>18.93390529029675</v>
      </c>
      <c r="AT38">
        <v>65.881781070614608</v>
      </c>
      <c r="AU38">
        <v>11.217601693742459</v>
      </c>
      <c r="AV38">
        <v>13.183950258442369</v>
      </c>
      <c r="AW38">
        <v>75.47655060610532</v>
      </c>
      <c r="AX38">
        <v>0.1218974417098479</v>
      </c>
      <c r="AY38">
        <v>2433.800134746572</v>
      </c>
      <c r="AZ38">
        <v>306002.56356413069</v>
      </c>
      <c r="BA38">
        <v>0</v>
      </c>
      <c r="BB38">
        <v>7.6636564423592138E-2</v>
      </c>
      <c r="BC38">
        <v>9.4985428074806907E-2</v>
      </c>
      <c r="BD38">
        <v>0.50426702562829173</v>
      </c>
      <c r="BE38">
        <v>3.5547656076427461E-3</v>
      </c>
      <c r="BF38">
        <v>0.32055621626566638</v>
      </c>
    </row>
    <row r="39" spans="2:58">
      <c r="B39">
        <v>13389</v>
      </c>
      <c r="C39" t="s">
        <v>502</v>
      </c>
      <c r="D39" t="s">
        <v>503</v>
      </c>
      <c r="E39" t="s">
        <v>276</v>
      </c>
      <c r="F39" t="s">
        <v>277</v>
      </c>
      <c r="G39">
        <v>9813</v>
      </c>
      <c r="H39">
        <v>1915</v>
      </c>
      <c r="I39" t="s">
        <v>504</v>
      </c>
      <c r="J39" s="169" t="s">
        <v>505</v>
      </c>
      <c r="K39" s="169" t="s">
        <v>289</v>
      </c>
      <c r="L39">
        <v>20.2</v>
      </c>
      <c r="M39" t="s">
        <v>506</v>
      </c>
      <c r="N39" t="s">
        <v>507</v>
      </c>
      <c r="O39" t="s">
        <v>508</v>
      </c>
      <c r="P39">
        <v>0</v>
      </c>
      <c r="Q39">
        <v>0</v>
      </c>
      <c r="R39">
        <v>1.07918622848</v>
      </c>
      <c r="S39">
        <v>16.193961573650501</v>
      </c>
      <c r="T39">
        <v>10.82508525326458</v>
      </c>
      <c r="U39">
        <v>5.0881643516593194</v>
      </c>
      <c r="V39">
        <v>1.7466522498544459</v>
      </c>
      <c r="W39">
        <v>6.4459785411295017E-2</v>
      </c>
      <c r="X39">
        <v>0.6608167678615986</v>
      </c>
      <c r="Y39">
        <v>8</v>
      </c>
      <c r="Z39">
        <v>3.5128300189971919</v>
      </c>
      <c r="AA39">
        <v>0.23367666701475781</v>
      </c>
      <c r="AB39">
        <v>44.437150577999411</v>
      </c>
      <c r="AC39" t="s">
        <v>509</v>
      </c>
      <c r="AD39">
        <v>0</v>
      </c>
      <c r="AE39">
        <v>194857.549999999</v>
      </c>
      <c r="AF39">
        <v>194858</v>
      </c>
      <c r="AG39">
        <v>19.50065573543349</v>
      </c>
      <c r="AH39">
        <v>44.309168727996799</v>
      </c>
      <c r="AI39">
        <v>28.01689948577938</v>
      </c>
      <c r="AJ39">
        <v>27.425956337435469</v>
      </c>
      <c r="AK39">
        <v>0</v>
      </c>
      <c r="AL39">
        <v>0</v>
      </c>
      <c r="AM39">
        <v>0.24774451138777981</v>
      </c>
      <c r="AN39">
        <v>0</v>
      </c>
      <c r="AO39">
        <v>20.71059565003273</v>
      </c>
      <c r="AP39">
        <v>11.277234782133331</v>
      </c>
      <c r="AQ39">
        <v>68.012169567833951</v>
      </c>
      <c r="AR39">
        <v>5.1557731489121998</v>
      </c>
      <c r="AS39">
        <v>13.22253314837736</v>
      </c>
      <c r="AT39">
        <v>81.621693702710445</v>
      </c>
      <c r="AU39">
        <v>8.7043381177685966</v>
      </c>
      <c r="AV39">
        <v>10.796317617664799</v>
      </c>
      <c r="AW39">
        <v>80.499344264566616</v>
      </c>
      <c r="AX39">
        <v>0</v>
      </c>
      <c r="AY39">
        <v>1824.5725973656861</v>
      </c>
      <c r="AZ39">
        <v>194946.6318808223</v>
      </c>
      <c r="BA39">
        <v>0</v>
      </c>
      <c r="BB39">
        <v>0.12427188448601199</v>
      </c>
      <c r="BC39">
        <v>9.9762080564443356E-2</v>
      </c>
      <c r="BD39">
        <v>0.53341127245877429</v>
      </c>
      <c r="BE39">
        <v>2.727869390433998E-3</v>
      </c>
      <c r="BF39">
        <v>0.23982689310033639</v>
      </c>
    </row>
    <row r="40" spans="2:58">
      <c r="B40">
        <v>13809</v>
      </c>
      <c r="C40" t="s">
        <v>510</v>
      </c>
      <c r="D40" t="s">
        <v>511</v>
      </c>
      <c r="E40" t="s">
        <v>276</v>
      </c>
      <c r="F40" t="s">
        <v>277</v>
      </c>
      <c r="G40">
        <v>14045</v>
      </c>
      <c r="H40">
        <v>1060</v>
      </c>
      <c r="I40" t="s">
        <v>361</v>
      </c>
      <c r="J40" s="169" t="s">
        <v>442</v>
      </c>
      <c r="K40" s="169" t="s">
        <v>315</v>
      </c>
      <c r="L40">
        <v>18.3</v>
      </c>
      <c r="M40" t="s">
        <v>281</v>
      </c>
      <c r="N40" t="s">
        <v>512</v>
      </c>
      <c r="O40" t="s">
        <v>513</v>
      </c>
      <c r="P40">
        <v>2.0050125300000001E-3</v>
      </c>
      <c r="Q40">
        <v>2.0050125300000001E-3</v>
      </c>
      <c r="R40">
        <v>23.039598997500001</v>
      </c>
      <c r="S40">
        <v>12.32935612168118</v>
      </c>
      <c r="T40">
        <v>10.9749543158121</v>
      </c>
      <c r="U40">
        <v>8.7283671933784799</v>
      </c>
      <c r="V40">
        <v>4.4340535311189937</v>
      </c>
      <c r="W40">
        <v>0.44071804794152419</v>
      </c>
      <c r="X40">
        <v>0.63092550790067725</v>
      </c>
      <c r="Y40">
        <v>7</v>
      </c>
      <c r="Z40">
        <v>2.9155399799346919</v>
      </c>
      <c r="AA40">
        <v>0.11439999938011169</v>
      </c>
      <c r="AB40">
        <v>42.701218180536152</v>
      </c>
      <c r="AC40" t="s">
        <v>514</v>
      </c>
      <c r="AD40">
        <v>0</v>
      </c>
      <c r="AE40">
        <v>75349.63</v>
      </c>
      <c r="AF40">
        <v>75350</v>
      </c>
      <c r="AG40">
        <v>4.2416930249027107</v>
      </c>
      <c r="AH40">
        <v>33.751147976111348</v>
      </c>
      <c r="AI40">
        <v>25.663370935633711</v>
      </c>
      <c r="AJ40">
        <v>40.582083609820828</v>
      </c>
      <c r="AK40">
        <v>0</v>
      </c>
      <c r="AL40">
        <v>0</v>
      </c>
      <c r="AM40">
        <v>2.9064366290643658E-3</v>
      </c>
      <c r="AN40">
        <v>0</v>
      </c>
      <c r="AO40">
        <v>2.4848730785624751</v>
      </c>
      <c r="AP40">
        <v>3.110239750104987</v>
      </c>
      <c r="AQ40">
        <v>94.404887171332533</v>
      </c>
      <c r="AR40">
        <v>2.3093133236974039</v>
      </c>
      <c r="AS40">
        <v>6.3398035408160904</v>
      </c>
      <c r="AT40">
        <v>91.350883135486512</v>
      </c>
      <c r="AU40">
        <v>2.6767620062317499</v>
      </c>
      <c r="AV40">
        <v>1.5649315816058531</v>
      </c>
      <c r="AW40">
        <v>95.758306412162383</v>
      </c>
      <c r="AX40">
        <v>0</v>
      </c>
      <c r="AY40">
        <v>1514.570539173528</v>
      </c>
      <c r="AZ40">
        <v>75402.951248539845</v>
      </c>
      <c r="BA40">
        <v>0</v>
      </c>
      <c r="BB40">
        <v>5.8006362672322377E-2</v>
      </c>
      <c r="BC40">
        <v>6.2407211028632018E-2</v>
      </c>
      <c r="BD40">
        <v>0.52412513255567339</v>
      </c>
      <c r="BE40">
        <v>9.5440084835630968E-4</v>
      </c>
      <c r="BF40">
        <v>0.35450689289501591</v>
      </c>
    </row>
    <row r="41" spans="2:58">
      <c r="B41">
        <v>13964</v>
      </c>
      <c r="C41" t="s">
        <v>515</v>
      </c>
      <c r="D41" t="s">
        <v>516</v>
      </c>
      <c r="E41" t="s">
        <v>276</v>
      </c>
      <c r="F41" t="s">
        <v>277</v>
      </c>
      <c r="G41">
        <v>6247</v>
      </c>
      <c r="H41">
        <v>610</v>
      </c>
      <c r="I41" t="s">
        <v>517</v>
      </c>
      <c r="J41" s="169" t="s">
        <v>518</v>
      </c>
      <c r="K41" s="169" t="s">
        <v>519</v>
      </c>
      <c r="L41">
        <v>7.4</v>
      </c>
      <c r="M41" t="s">
        <v>520</v>
      </c>
      <c r="N41" t="s">
        <v>521</v>
      </c>
      <c r="O41" t="s">
        <v>522</v>
      </c>
      <c r="P41">
        <v>0</v>
      </c>
      <c r="Q41">
        <v>0</v>
      </c>
      <c r="R41">
        <v>1</v>
      </c>
      <c r="S41">
        <v>13.696858442154451</v>
      </c>
      <c r="T41">
        <v>9.9211481496933533</v>
      </c>
      <c r="U41">
        <v>5.0106387417080391</v>
      </c>
      <c r="V41">
        <v>1.34340189411323</v>
      </c>
      <c r="W41">
        <v>2.9204389002461511E-2</v>
      </c>
      <c r="X41">
        <v>0.69998748383328468</v>
      </c>
      <c r="Y41">
        <v>1</v>
      </c>
      <c r="Z41">
        <v>3.6561400890350342</v>
      </c>
      <c r="AA41">
        <v>0.27831000089645391</v>
      </c>
      <c r="AB41">
        <v>35.99631484210191</v>
      </c>
      <c r="AC41" t="s">
        <v>523</v>
      </c>
      <c r="AD41">
        <v>0.69260080976922755</v>
      </c>
      <c r="AE41">
        <v>96928.85</v>
      </c>
      <c r="AF41">
        <v>97185</v>
      </c>
      <c r="AG41">
        <v>21.075469274627721</v>
      </c>
      <c r="AH41">
        <v>39.436240160518601</v>
      </c>
      <c r="AI41">
        <v>34.865349590986263</v>
      </c>
      <c r="AJ41">
        <v>24.33074034058744</v>
      </c>
      <c r="AK41">
        <v>0.70732108864536714</v>
      </c>
      <c r="AL41">
        <v>0.26344600504192928</v>
      </c>
      <c r="AM41">
        <v>0.39677933837526369</v>
      </c>
      <c r="AN41">
        <v>0</v>
      </c>
      <c r="AO41">
        <v>15.80450398031628</v>
      </c>
      <c r="AP41">
        <v>11.09638079533268</v>
      </c>
      <c r="AQ41">
        <v>73.099115224351024</v>
      </c>
      <c r="AR41">
        <v>5.7845483502631794</v>
      </c>
      <c r="AS41">
        <v>23.585692197678611</v>
      </c>
      <c r="AT41">
        <v>70.629759452058209</v>
      </c>
      <c r="AU41">
        <v>12.640984870963081</v>
      </c>
      <c r="AV41">
        <v>8.4344865779885509</v>
      </c>
      <c r="AW41">
        <v>78.231927669824557</v>
      </c>
      <c r="AX41">
        <v>0.69260088122379337</v>
      </c>
      <c r="AY41">
        <v>1361.594543325494</v>
      </c>
      <c r="AZ41">
        <v>97169.730582180287</v>
      </c>
      <c r="BA41">
        <v>0</v>
      </c>
      <c r="BB41">
        <v>6.8104193243076414E-2</v>
      </c>
      <c r="BC41">
        <v>0.10332908110777329</v>
      </c>
      <c r="BD41">
        <v>0.55129418542446817</v>
      </c>
      <c r="BE41">
        <v>0</v>
      </c>
      <c r="BF41">
        <v>0.27727254022468212</v>
      </c>
    </row>
    <row r="42" spans="2:58">
      <c r="B42">
        <v>14308</v>
      </c>
      <c r="C42" t="s">
        <v>524</v>
      </c>
      <c r="D42" t="s">
        <v>525</v>
      </c>
      <c r="E42" t="s">
        <v>276</v>
      </c>
      <c r="F42" t="s">
        <v>277</v>
      </c>
      <c r="G42">
        <v>11000</v>
      </c>
      <c r="H42">
        <v>435</v>
      </c>
      <c r="I42" t="s">
        <v>361</v>
      </c>
      <c r="J42" s="169" t="s">
        <v>442</v>
      </c>
      <c r="K42" s="169" t="s">
        <v>315</v>
      </c>
      <c r="L42">
        <v>15.9</v>
      </c>
      <c r="M42" t="s">
        <v>526</v>
      </c>
      <c r="N42" t="s">
        <v>388</v>
      </c>
      <c r="O42" t="s">
        <v>527</v>
      </c>
      <c r="P42">
        <v>4.2780748659999999E-2</v>
      </c>
      <c r="Q42">
        <v>4.2780748659999999E-2</v>
      </c>
      <c r="R42">
        <v>29.100534759399999</v>
      </c>
      <c r="S42">
        <v>12.238622386223859</v>
      </c>
      <c r="T42">
        <v>5.4633046330463308</v>
      </c>
      <c r="U42">
        <v>1.947519475194752</v>
      </c>
      <c r="V42">
        <v>1.5887658876588771</v>
      </c>
      <c r="W42">
        <v>0.21525215252152519</v>
      </c>
      <c r="X42">
        <v>0.7854653546535465</v>
      </c>
      <c r="Y42">
        <v>4</v>
      </c>
      <c r="AB42">
        <v>50.850122726755508</v>
      </c>
      <c r="AC42" t="s">
        <v>528</v>
      </c>
      <c r="AD42">
        <v>0</v>
      </c>
      <c r="AE42">
        <v>39514.300000000003</v>
      </c>
      <c r="AF42">
        <v>39514</v>
      </c>
      <c r="AG42">
        <v>9.3379865010894729</v>
      </c>
      <c r="AH42">
        <v>36.335653186212483</v>
      </c>
      <c r="AI42">
        <v>28.736270688869769</v>
      </c>
      <c r="AJ42">
        <v>34.928835349496381</v>
      </c>
      <c r="AK42">
        <v>0</v>
      </c>
      <c r="AL42">
        <v>0</v>
      </c>
      <c r="AM42">
        <v>0</v>
      </c>
      <c r="AN42">
        <v>0</v>
      </c>
      <c r="AO42">
        <v>8.1362143970536156</v>
      </c>
      <c r="AP42">
        <v>6.1868020276284934</v>
      </c>
      <c r="AQ42">
        <v>85.676983575317891</v>
      </c>
      <c r="AR42">
        <v>2.9134686939941878</v>
      </c>
      <c r="AS42">
        <v>11.01502882028384</v>
      </c>
      <c r="AT42">
        <v>86.071502485721965</v>
      </c>
      <c r="AU42">
        <v>5.4132821316035402</v>
      </c>
      <c r="AV42">
        <v>3.9247067326782359</v>
      </c>
      <c r="AW42">
        <v>90.662011135718217</v>
      </c>
      <c r="AX42">
        <v>0</v>
      </c>
      <c r="AY42">
        <v>1081.1519023489559</v>
      </c>
      <c r="AZ42">
        <v>39546.644381197802</v>
      </c>
      <c r="BA42">
        <v>0</v>
      </c>
      <c r="BB42">
        <v>3.5179943388596847E-2</v>
      </c>
      <c r="BC42">
        <v>6.7630408410837034E-2</v>
      </c>
      <c r="BD42">
        <v>0.56399110392236151</v>
      </c>
      <c r="BE42">
        <v>3.0327537403962798E-4</v>
      </c>
      <c r="BF42">
        <v>0.33289526890416499</v>
      </c>
    </row>
    <row r="45" spans="2:58">
      <c r="B45" t="s">
        <v>618</v>
      </c>
    </row>
    <row r="46" spans="2:58">
      <c r="B46" s="193">
        <v>45678</v>
      </c>
    </row>
    <row r="50" spans="2:7">
      <c r="B50" s="224" t="s">
        <v>595</v>
      </c>
      <c r="C50" s="223">
        <v>2019</v>
      </c>
      <c r="D50" s="223">
        <v>2020</v>
      </c>
      <c r="E50" s="223">
        <v>2021</v>
      </c>
      <c r="F50" s="223">
        <v>2022</v>
      </c>
      <c r="G50" s="223">
        <v>2023</v>
      </c>
    </row>
    <row r="51" spans="2:7">
      <c r="B51" s="150" t="s">
        <v>592</v>
      </c>
      <c r="C51" s="179">
        <v>273</v>
      </c>
      <c r="D51" s="179">
        <v>335</v>
      </c>
      <c r="E51" s="179">
        <v>476</v>
      </c>
      <c r="F51" s="179">
        <v>448</v>
      </c>
      <c r="G51" s="179">
        <v>299</v>
      </c>
    </row>
    <row r="52" spans="2:7">
      <c r="B52" s="150" t="s">
        <v>593</v>
      </c>
      <c r="C52" s="150">
        <v>319</v>
      </c>
      <c r="D52" s="150">
        <v>211</v>
      </c>
      <c r="E52" s="150">
        <v>489</v>
      </c>
      <c r="F52" s="150">
        <v>587</v>
      </c>
      <c r="G52" s="150">
        <v>318</v>
      </c>
    </row>
  </sheetData>
  <sheetProtection algorithmName="SHA-512" hashValue="VtR7gUqtwph5dx/mfnHJuouSdkPh8FhYRoWFiiyidib3LDJwAIVW+xAJ1Zgp7mVV1SqDdZ08vK1Jb/G9YPw8vA==" saltValue="8p0xngOowihlPDZU4A7RWA==" spinCount="100000" sheet="1" objects="1" scenarios="1"/>
  <mergeCells count="1">
    <mergeCell ref="B1:I1"/>
  </mergeCells>
  <pageMargins left="0.7" right="0.7" top="0.75" bottom="0.75" header="0.3" footer="0.3"/>
  <pageSetup paperSize="9"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1" id="{740349F4-992E-7341-A4DE-B140CC6FFC59}">
            <x14:iconSet iconSet="3Stars">
              <x14:cfvo type="percent">
                <xm:f>0</xm:f>
              </x14:cfvo>
              <x14:cfvo type="percent">
                <xm:f>33</xm:f>
              </x14:cfvo>
              <x14:cfvo type="percent">
                <xm:f>67</xm:f>
              </x14:cfvo>
            </x14:iconSet>
          </x14:cfRule>
          <xm:sqref>J7</xm:sqref>
        </x14:conditionalFormatting>
        <x14:conditionalFormatting xmlns:xm="http://schemas.microsoft.com/office/excel/2006/main">
          <x14:cfRule type="iconSet" priority="2" id="{A59AF6FD-4413-DB43-A612-51310B4008E0}">
            <x14:iconSet iconSet="3Stars">
              <x14:cfvo type="percent">
                <xm:f>0</xm:f>
              </x14:cfvo>
              <x14:cfvo type="percent">
                <xm:f>33</xm:f>
              </x14:cfvo>
              <x14:cfvo type="percent">
                <xm:f>67</xm:f>
              </x14:cfvo>
            </x14:iconSet>
          </x14:cfRule>
          <xm:sqref>J12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E4D5-2221-CF45-BCE4-48A518FB00F6}">
  <sheetPr codeName="Blad13">
    <tabColor theme="7" tint="0.59999389629810485"/>
  </sheetPr>
  <dimension ref="A1:P53"/>
  <sheetViews>
    <sheetView topLeftCell="A24" workbookViewId="0">
      <selection activeCell="V58" sqref="V58"/>
    </sheetView>
  </sheetViews>
  <sheetFormatPr defaultColWidth="10.8984375" defaultRowHeight="15.6"/>
  <cols>
    <col min="1" max="1" width="10.8984375" style="112"/>
    <col min="2" max="2" width="31" style="112" customWidth="1"/>
    <col min="3" max="15" width="10.8984375" style="112"/>
    <col min="16" max="16" width="12.8984375" style="112" customWidth="1"/>
    <col min="17" max="16384" width="10.8984375" style="112"/>
  </cols>
  <sheetData>
    <row r="1" spans="1:16" ht="25.8">
      <c r="A1" s="144" t="s">
        <v>553</v>
      </c>
      <c r="B1" s="144"/>
      <c r="C1" s="144"/>
      <c r="D1" s="144"/>
      <c r="E1" s="144"/>
      <c r="F1" s="144"/>
      <c r="G1" s="144"/>
      <c r="H1" s="20"/>
      <c r="I1" s="20"/>
      <c r="J1" s="20"/>
      <c r="K1" s="20"/>
      <c r="L1" s="20"/>
      <c r="M1" s="20"/>
      <c r="N1" s="20"/>
      <c r="O1" s="20"/>
      <c r="P1" s="20"/>
    </row>
    <row r="3" spans="1:16" ht="18">
      <c r="A3" s="138" t="s">
        <v>591</v>
      </c>
    </row>
    <row r="4" spans="1:16">
      <c r="A4" s="112" t="s">
        <v>657</v>
      </c>
    </row>
    <row r="5" spans="1:16">
      <c r="A5" s="129">
        <v>1</v>
      </c>
      <c r="B5" s="143" t="s">
        <v>572</v>
      </c>
      <c r="C5" s="137" t="s">
        <v>624</v>
      </c>
      <c r="D5" s="136"/>
      <c r="E5" s="136"/>
      <c r="F5" s="136"/>
      <c r="G5" s="136"/>
      <c r="H5" s="136"/>
      <c r="I5" s="136"/>
      <c r="J5" s="136"/>
      <c r="K5" s="136"/>
      <c r="L5" s="136"/>
      <c r="M5" s="136"/>
      <c r="N5" s="136"/>
      <c r="O5" s="136"/>
      <c r="P5" s="135"/>
    </row>
    <row r="6" spans="1:16">
      <c r="A6" s="129">
        <v>2</v>
      </c>
      <c r="B6" s="191" t="s">
        <v>658</v>
      </c>
      <c r="C6" s="134" t="s">
        <v>659</v>
      </c>
      <c r="P6" s="133"/>
    </row>
    <row r="7" spans="1:16" ht="18.600000000000001">
      <c r="A7" s="129">
        <v>3</v>
      </c>
      <c r="B7" s="142" t="s">
        <v>590</v>
      </c>
      <c r="C7" s="134" t="s">
        <v>625</v>
      </c>
      <c r="P7" s="133"/>
    </row>
    <row r="8" spans="1:16">
      <c r="A8" s="129">
        <v>4</v>
      </c>
      <c r="B8" s="141" t="s">
        <v>567</v>
      </c>
      <c r="C8" s="134" t="s">
        <v>622</v>
      </c>
      <c r="P8" s="133"/>
    </row>
    <row r="9" spans="1:16">
      <c r="A9" s="129">
        <v>5</v>
      </c>
      <c r="B9" s="141" t="s">
        <v>611</v>
      </c>
      <c r="C9" s="134" t="s">
        <v>639</v>
      </c>
      <c r="P9" s="133"/>
    </row>
    <row r="10" spans="1:16" ht="18.600000000000001">
      <c r="A10" s="129">
        <v>6</v>
      </c>
      <c r="B10" s="140" t="s">
        <v>619</v>
      </c>
      <c r="C10" s="134" t="s">
        <v>623</v>
      </c>
      <c r="P10" s="133"/>
    </row>
    <row r="11" spans="1:16">
      <c r="A11" s="129">
        <v>7</v>
      </c>
      <c r="B11" s="140" t="s">
        <v>564</v>
      </c>
      <c r="C11" s="134" t="s">
        <v>623</v>
      </c>
      <c r="P11" s="133"/>
    </row>
    <row r="12" spans="1:16">
      <c r="A12" s="129">
        <v>8</v>
      </c>
      <c r="B12" s="140" t="s">
        <v>561</v>
      </c>
      <c r="C12" s="134" t="s">
        <v>623</v>
      </c>
      <c r="P12" s="133"/>
    </row>
    <row r="13" spans="1:16">
      <c r="A13" s="129">
        <v>9</v>
      </c>
      <c r="B13" s="140" t="s">
        <v>558</v>
      </c>
      <c r="C13" s="134" t="s">
        <v>623</v>
      </c>
      <c r="P13" s="133"/>
    </row>
    <row r="14" spans="1:16">
      <c r="A14" s="129">
        <v>10</v>
      </c>
      <c r="B14" s="140" t="s">
        <v>589</v>
      </c>
      <c r="C14" s="134" t="s">
        <v>623</v>
      </c>
      <c r="P14" s="133"/>
    </row>
    <row r="15" spans="1:16">
      <c r="A15" s="129">
        <v>11</v>
      </c>
      <c r="B15" s="170" t="s">
        <v>605</v>
      </c>
      <c r="C15" s="171" t="s">
        <v>620</v>
      </c>
      <c r="P15" s="133"/>
    </row>
    <row r="16" spans="1:16">
      <c r="A16" s="129">
        <v>12</v>
      </c>
      <c r="B16" s="139" t="s">
        <v>553</v>
      </c>
      <c r="C16" s="132" t="s">
        <v>571</v>
      </c>
      <c r="D16" s="131"/>
      <c r="E16" s="131"/>
      <c r="F16" s="131"/>
      <c r="G16" s="131"/>
      <c r="H16" s="131"/>
      <c r="I16" s="131"/>
      <c r="J16" s="131"/>
      <c r="K16" s="131"/>
      <c r="L16" s="131"/>
      <c r="M16" s="131"/>
      <c r="N16" s="131"/>
      <c r="O16" s="131"/>
      <c r="P16" s="130"/>
    </row>
    <row r="17" spans="1:16">
      <c r="B17" s="161"/>
    </row>
    <row r="18" spans="1:16" ht="18">
      <c r="A18" s="138" t="s">
        <v>588</v>
      </c>
    </row>
    <row r="20" spans="1:16">
      <c r="B20" s="112" t="s">
        <v>587</v>
      </c>
    </row>
    <row r="21" spans="1:16">
      <c r="B21" s="112" t="s">
        <v>586</v>
      </c>
    </row>
    <row r="23" spans="1:16">
      <c r="B23" s="129" t="s">
        <v>626</v>
      </c>
    </row>
    <row r="24" spans="1:16" ht="18.600000000000001">
      <c r="A24" s="129">
        <v>1</v>
      </c>
      <c r="B24" s="137" t="s">
        <v>632</v>
      </c>
      <c r="C24" s="136"/>
      <c r="D24" s="136"/>
      <c r="E24" s="136"/>
      <c r="F24" s="136"/>
      <c r="G24" s="136"/>
      <c r="H24" s="136"/>
      <c r="I24" s="136"/>
      <c r="J24" s="136"/>
      <c r="K24" s="136"/>
      <c r="L24" s="136"/>
      <c r="M24" s="136"/>
      <c r="N24" s="136"/>
      <c r="O24" s="173"/>
      <c r="P24" s="174"/>
    </row>
    <row r="25" spans="1:16">
      <c r="A25" s="129">
        <v>2</v>
      </c>
      <c r="B25" s="134" t="s">
        <v>585</v>
      </c>
      <c r="P25" s="175"/>
    </row>
    <row r="26" spans="1:16">
      <c r="A26" s="129">
        <v>3</v>
      </c>
      <c r="B26" s="134" t="s">
        <v>640</v>
      </c>
      <c r="P26" s="175"/>
    </row>
    <row r="27" spans="1:16">
      <c r="A27" s="129">
        <v>4</v>
      </c>
      <c r="B27" s="134" t="s">
        <v>584</v>
      </c>
      <c r="P27" s="175"/>
    </row>
    <row r="28" spans="1:16">
      <c r="A28" s="129">
        <v>5</v>
      </c>
      <c r="B28" s="134" t="s">
        <v>583</v>
      </c>
      <c r="P28" s="176"/>
    </row>
    <row r="29" spans="1:16">
      <c r="A29" s="129">
        <v>6</v>
      </c>
      <c r="B29" s="134" t="s">
        <v>630</v>
      </c>
      <c r="P29" s="176"/>
    </row>
    <row r="30" spans="1:16">
      <c r="A30" s="129">
        <v>7</v>
      </c>
      <c r="B30" s="134" t="s">
        <v>582</v>
      </c>
      <c r="P30" s="175"/>
    </row>
    <row r="31" spans="1:16">
      <c r="A31" s="129">
        <v>8</v>
      </c>
      <c r="B31" s="132" t="s">
        <v>581</v>
      </c>
      <c r="C31" s="131"/>
      <c r="D31" s="131"/>
      <c r="E31" s="131"/>
      <c r="F31" s="131"/>
      <c r="G31" s="131"/>
      <c r="H31" s="131"/>
      <c r="I31" s="131"/>
      <c r="J31" s="131"/>
      <c r="K31" s="131"/>
      <c r="L31" s="131"/>
      <c r="M31" s="131"/>
      <c r="N31" s="131"/>
      <c r="O31" s="172"/>
      <c r="P31" s="177"/>
    </row>
    <row r="33" spans="1:16">
      <c r="B33" s="129" t="s">
        <v>629</v>
      </c>
    </row>
    <row r="34" spans="1:16">
      <c r="B34" s="137" t="s">
        <v>580</v>
      </c>
      <c r="C34" s="136"/>
      <c r="D34" s="136"/>
      <c r="E34" s="136"/>
      <c r="F34" s="136"/>
      <c r="G34" s="136"/>
      <c r="H34" s="136"/>
      <c r="I34" s="136"/>
      <c r="J34" s="136"/>
      <c r="K34" s="136"/>
      <c r="L34" s="173"/>
      <c r="M34" s="173"/>
      <c r="N34" s="173"/>
      <c r="O34" s="173"/>
      <c r="P34" s="174"/>
    </row>
    <row r="35" spans="1:16">
      <c r="B35" s="134" t="s">
        <v>579</v>
      </c>
      <c r="P35" s="175"/>
    </row>
    <row r="36" spans="1:16">
      <c r="A36" s="129">
        <v>1</v>
      </c>
      <c r="B36" s="134" t="s">
        <v>578</v>
      </c>
      <c r="P36" s="175"/>
    </row>
    <row r="37" spans="1:16">
      <c r="A37" s="129">
        <v>2</v>
      </c>
      <c r="B37" s="134" t="s">
        <v>577</v>
      </c>
      <c r="P37" s="175"/>
    </row>
    <row r="38" spans="1:16">
      <c r="B38" s="134"/>
      <c r="P38" s="175"/>
    </row>
    <row r="39" spans="1:16">
      <c r="B39" s="132" t="s">
        <v>576</v>
      </c>
      <c r="C39" s="131"/>
      <c r="D39" s="131"/>
      <c r="E39" s="131"/>
      <c r="F39" s="131"/>
      <c r="G39" s="131"/>
      <c r="H39" s="131"/>
      <c r="I39" s="131"/>
      <c r="J39" s="131"/>
      <c r="K39" s="131"/>
      <c r="L39" s="172"/>
      <c r="M39" s="172"/>
      <c r="N39" s="172"/>
      <c r="O39" s="172"/>
      <c r="P39" s="177"/>
    </row>
    <row r="41" spans="1:16">
      <c r="B41" s="129" t="s">
        <v>627</v>
      </c>
    </row>
    <row r="42" spans="1:16">
      <c r="B42" s="137" t="s">
        <v>631</v>
      </c>
      <c r="C42" s="136"/>
      <c r="D42" s="136"/>
      <c r="E42" s="136"/>
      <c r="F42" s="136"/>
      <c r="G42" s="136"/>
      <c r="H42" s="136"/>
      <c r="I42" s="136"/>
      <c r="J42" s="136"/>
      <c r="K42" s="136"/>
      <c r="L42" s="173"/>
      <c r="M42" s="173"/>
      <c r="N42" s="173"/>
      <c r="O42" s="173"/>
      <c r="P42" s="174"/>
    </row>
    <row r="43" spans="1:16">
      <c r="A43" s="129">
        <v>1</v>
      </c>
      <c r="B43" s="134" t="s">
        <v>633</v>
      </c>
      <c r="P43" s="175"/>
    </row>
    <row r="44" spans="1:16">
      <c r="A44" s="129">
        <v>2</v>
      </c>
      <c r="B44" s="134" t="s">
        <v>634</v>
      </c>
      <c r="P44" s="175"/>
    </row>
    <row r="45" spans="1:16">
      <c r="A45" s="129">
        <v>3</v>
      </c>
      <c r="B45" s="134" t="s">
        <v>635</v>
      </c>
      <c r="P45" s="175"/>
    </row>
    <row r="46" spans="1:16">
      <c r="A46" s="112">
        <v>4</v>
      </c>
      <c r="B46" s="134" t="s">
        <v>636</v>
      </c>
      <c r="P46" s="175"/>
    </row>
    <row r="47" spans="1:16">
      <c r="A47" s="129">
        <v>5</v>
      </c>
      <c r="B47" s="132" t="s">
        <v>637</v>
      </c>
      <c r="C47" s="131"/>
      <c r="D47" s="131"/>
      <c r="E47" s="131"/>
      <c r="F47" s="131"/>
      <c r="G47" s="131"/>
      <c r="H47" s="131"/>
      <c r="I47" s="131"/>
      <c r="J47" s="131"/>
      <c r="K47" s="131"/>
      <c r="L47" s="172"/>
      <c r="M47" s="172"/>
      <c r="N47" s="172"/>
      <c r="O47" s="172"/>
      <c r="P47" s="177"/>
    </row>
    <row r="49" spans="1:16">
      <c r="B49" s="129" t="s">
        <v>628</v>
      </c>
    </row>
    <row r="50" spans="1:16">
      <c r="A50" s="129"/>
      <c r="B50" s="137" t="s">
        <v>638</v>
      </c>
      <c r="C50" s="136"/>
      <c r="D50" s="136"/>
      <c r="E50" s="136"/>
      <c r="F50" s="136"/>
      <c r="G50" s="136"/>
      <c r="H50" s="136"/>
      <c r="I50" s="136"/>
      <c r="J50" s="136"/>
      <c r="K50" s="173"/>
      <c r="L50" s="173"/>
      <c r="M50" s="173"/>
      <c r="N50" s="173"/>
      <c r="O50" s="173"/>
      <c r="P50" s="174"/>
    </row>
    <row r="51" spans="1:16">
      <c r="B51" s="180" t="s">
        <v>644</v>
      </c>
      <c r="C51" s="172"/>
      <c r="D51" s="172"/>
      <c r="E51" s="172"/>
      <c r="F51" s="172"/>
      <c r="G51" s="172"/>
      <c r="H51" s="172"/>
      <c r="I51" s="172"/>
      <c r="J51" s="172"/>
      <c r="K51" s="172"/>
      <c r="L51" s="172"/>
      <c r="M51" s="172"/>
      <c r="N51" s="172"/>
      <c r="O51" s="172"/>
      <c r="P51" s="177"/>
    </row>
    <row r="52" spans="1:16">
      <c r="A52" s="129"/>
    </row>
    <row r="53" spans="1:16">
      <c r="A53" s="129"/>
    </row>
  </sheetData>
  <sheetProtection algorithmName="SHA-512" hashValue="ZPjG6qZZ2Ze+Eq/w57qdWNDN7fDc7/aZCNc8ID+xtOgR+PJbN0SWeitDVhEkRT7EHqXHuwGMegymqjmZqLOS8Q==" saltValue="G2bulWIDdmNS8jiS/YL/Sw==" spinCount="100000" sheet="1" objects="1" scenarios="1"/>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1847C33E08C44E9D749F80DEE09637" ma:contentTypeVersion="19" ma:contentTypeDescription="Een nieuw document maken." ma:contentTypeScope="" ma:versionID="c3d157989fd58c40f2cfee5c863f3512">
  <xsd:schema xmlns:xsd="http://www.w3.org/2001/XMLSchema" xmlns:xs="http://www.w3.org/2001/XMLSchema" xmlns:p="http://schemas.microsoft.com/office/2006/metadata/properties" xmlns:ns2="f276783e-5bf5-44fc-b0b0-0559be495a68" xmlns:ns3="155d400f-fbdd-4010-a9ae-e11da1316a12" targetNamespace="http://schemas.microsoft.com/office/2006/metadata/properties" ma:root="true" ma:fieldsID="f01e922c73f1d9b7d6883058846ae27f" ns2:_="" ns3:_="">
    <xsd:import namespace="f276783e-5bf5-44fc-b0b0-0559be495a68"/>
    <xsd:import namespace="155d400f-fbdd-4010-a9ae-e11da1316a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6783e-5bf5-44fc-b0b0-0559be495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611b7e7-7e46-4203-9fa5-a8c6631a994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d400f-fbdd-4010-a9ae-e11da1316a12"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4517382e-774b-4ed4-a55e-b67ea18588a1}" ma:internalName="TaxCatchAll" ma:showField="CatchAllData" ma:web="155d400f-fbdd-4010-a9ae-e11da1316a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55d400f-fbdd-4010-a9ae-e11da1316a12" xsi:nil="true"/>
    <lcf76f155ced4ddcb4097134ff3c332f xmlns="f276783e-5bf5-44fc-b0b0-0559be495a6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D8F5A-2DE3-497E-9885-258B70D7F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6783e-5bf5-44fc-b0b0-0559be495a68"/>
    <ds:schemaRef ds:uri="155d400f-fbdd-4010-a9ae-e11da1316a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9A2387-9449-4915-A8F1-4A9AA84585B2}">
  <ds:schemaRefs>
    <ds:schemaRef ds:uri="155d400f-fbdd-4010-a9ae-e11da1316a12"/>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f276783e-5bf5-44fc-b0b0-0559be495a68"/>
    <ds:schemaRef ds:uri="http://purl.org/dc/terms/"/>
  </ds:schemaRefs>
</ds:datastoreItem>
</file>

<file path=customXml/itemProps3.xml><?xml version="1.0" encoding="utf-8"?>
<ds:datastoreItem xmlns:ds="http://schemas.openxmlformats.org/officeDocument/2006/customXml" ds:itemID="{8B4F0CE0-3057-43FA-A6D3-59A1FA0E8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3</vt:i4>
      </vt:variant>
    </vt:vector>
  </HeadingPairs>
  <TitlesOfParts>
    <vt:vector size="16" baseType="lpstr">
      <vt:lpstr>Introductie</vt:lpstr>
      <vt:lpstr>Invloedssfeer &amp; Scope</vt:lpstr>
      <vt:lpstr>Monitor</vt:lpstr>
      <vt:lpstr>Berekeningen</vt:lpstr>
      <vt:lpstr>Berekeningen Groene KPI's</vt:lpstr>
      <vt:lpstr>Grafieken</vt:lpstr>
      <vt:lpstr>Brondata CO2</vt:lpstr>
      <vt:lpstr>Brondata Energie</vt:lpstr>
      <vt:lpstr>Brondata Mobiliteit</vt:lpstr>
      <vt:lpstr>Brondata Woningen</vt:lpstr>
      <vt:lpstr>Brondata Overige broeikasgassen</vt:lpstr>
      <vt:lpstr>Brondata Groene KPI's</vt:lpstr>
      <vt:lpstr>Instructie</vt:lpstr>
      <vt:lpstr>Monitor!Afdrukbereik</vt:lpstr>
      <vt:lpstr>Buurten</vt:lpstr>
      <vt:lpstr>Oosterwijk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Reiter | Bureau2030</dc:creator>
  <cp:lastModifiedBy>Mandjes, Matthijs</cp:lastModifiedBy>
  <cp:lastPrinted>2025-07-10T12:13:35Z</cp:lastPrinted>
  <dcterms:created xsi:type="dcterms:W3CDTF">2024-10-31T08:01:05Z</dcterms:created>
  <dcterms:modified xsi:type="dcterms:W3CDTF">2025-08-14T14:20:56Z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0x0101005C1847C33E08C44E9D749F80DEE09637</vt:lpwstr>
  </property>
  <property fmtid="{D5CDD505-2E9C-101B-9397-08002B2CF9AE}" pid="3" name="MediaServiceImageTags">
    <vt:lpwstr/>
  </property>
</Properties>
</file>