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Leefomgeving\DIM\Duurzaamheid\Besparingsprogramma\Subsidies\Subsidieregeling particulieren\Opzet\"/>
    </mc:Choice>
  </mc:AlternateContent>
  <xr:revisionPtr revIDLastSave="0" documentId="8_{8EF541E5-3D95-401A-9F65-E51E694546B4}" xr6:coauthVersionLast="47" xr6:coauthVersionMax="47" xr10:uidLastSave="{00000000-0000-0000-0000-000000000000}"/>
  <workbookProtection workbookAlgorithmName="SHA-512" workbookHashValue="mn0G+Z/f7Z6DzsuoKIe4aNe5LMIIjA5RES7ZIqOumF6WqPfnwEyXZBLHefAxYR7sa3+tIqcUu2PKMZFRmvTVoQ==" workbookSaltValue="5yra0uKZRS+htd+zKVtuxA==" workbookSpinCount="100000" lockStructure="1"/>
  <bookViews>
    <workbookView xWindow="-120" yWindow="-120" windowWidth="29040" windowHeight="15720" xr2:uid="{C58C5492-9809-4525-86DB-03CACCE26DAF}"/>
  </bookViews>
  <sheets>
    <sheet name="Keuzeblad maatregelen" sheetId="1" r:id="rId1"/>
    <sheet name="Berekening subsidies" sheetId="2" state="hidden" r:id="rId2"/>
    <sheet name="Berekening voorwaarde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19" i="1"/>
  <c r="E21" i="3"/>
  <c r="C13" i="3"/>
  <c r="L31" i="1"/>
  <c r="L15" i="1"/>
  <c r="L11" i="1"/>
  <c r="C38" i="2"/>
  <c r="C57" i="2" s="1"/>
  <c r="G36" i="2" l="1"/>
  <c r="G31" i="2" l="1"/>
  <c r="G38" i="2" s="1"/>
  <c r="E36" i="2"/>
  <c r="D36" i="2"/>
  <c r="F50" i="2"/>
  <c r="G50" i="2" s="1"/>
  <c r="F44" i="2"/>
  <c r="G44" i="2" s="1"/>
  <c r="C59" i="2"/>
  <c r="E59" i="2" s="1"/>
  <c r="C58" i="2"/>
  <c r="E58" i="2" s="1"/>
  <c r="C56" i="2"/>
  <c r="C55" i="2"/>
  <c r="C54" i="2"/>
  <c r="C53" i="2"/>
  <c r="G25" i="2"/>
  <c r="G18" i="2"/>
  <c r="G12" i="2"/>
  <c r="G6" i="2"/>
  <c r="E28" i="3"/>
  <c r="E26" i="3"/>
  <c r="E16" i="3"/>
  <c r="E22" i="3"/>
  <c r="E23" i="3"/>
  <c r="E24" i="3"/>
  <c r="E25" i="3"/>
  <c r="E13" i="3"/>
  <c r="E10" i="3"/>
  <c r="E7" i="3"/>
  <c r="E4" i="3"/>
  <c r="B14" i="3"/>
  <c r="D6" i="2"/>
  <c r="E28" i="2"/>
  <c r="E31" i="2" s="1"/>
  <c r="D28" i="2"/>
  <c r="D31" i="2" s="1"/>
  <c r="E21" i="2"/>
  <c r="E25" i="2" s="1"/>
  <c r="D21" i="2"/>
  <c r="D25" i="2" s="1"/>
  <c r="E15" i="2"/>
  <c r="E18" i="2" s="1"/>
  <c r="D15" i="2"/>
  <c r="D18" i="2" s="1"/>
  <c r="E9" i="2"/>
  <c r="E12" i="2" s="1"/>
  <c r="D9" i="2"/>
  <c r="D12" i="2" s="1"/>
  <c r="E6" i="2"/>
  <c r="E2" i="2"/>
  <c r="D2" i="2"/>
  <c r="L23" i="1" l="1"/>
  <c r="B28" i="3"/>
  <c r="K50" i="1"/>
  <c r="B33" i="3"/>
  <c r="E38" i="2"/>
  <c r="K56" i="1"/>
  <c r="D38" i="2"/>
  <c r="K47" i="1"/>
  <c r="K52" i="1"/>
  <c r="K53" i="1"/>
  <c r="K49" i="1"/>
  <c r="K46" i="1"/>
  <c r="K55" i="1"/>
  <c r="H50" i="2" l="1"/>
  <c r="Q55" i="1"/>
  <c r="Q49" i="1"/>
  <c r="H44" i="2"/>
  <c r="Q62" i="1"/>
  <c r="H36" i="2" s="1"/>
  <c r="Q52" i="1"/>
  <c r="Q46" i="1"/>
  <c r="H6" i="2" s="1"/>
  <c r="B37" i="1"/>
  <c r="K60" i="1"/>
  <c r="K64" i="1"/>
  <c r="J44" i="2" l="1"/>
  <c r="S69" i="1" s="1"/>
  <c r="Q70" i="1"/>
  <c r="Q60" i="1"/>
  <c r="Q73" i="1"/>
  <c r="J50" i="2"/>
  <c r="S72" i="1" s="1"/>
  <c r="D53" i="2"/>
  <c r="E53" i="2" s="1"/>
  <c r="H12" i="2"/>
  <c r="D54" i="2" s="1"/>
  <c r="E54" i="2" s="1"/>
  <c r="H18" i="2"/>
  <c r="D55" i="2" s="1"/>
  <c r="E55" i="2" s="1"/>
  <c r="H25" i="2"/>
  <c r="D56" i="2" s="1"/>
  <c r="E56" i="2" s="1"/>
  <c r="H31" i="2" l="1"/>
  <c r="H38" i="2"/>
  <c r="D57" i="2" s="1"/>
  <c r="E57" i="2" s="1"/>
  <c r="C60" i="2" s="1"/>
  <c r="C62" i="2" l="1"/>
  <c r="C63" i="2"/>
  <c r="C64" i="2" l="1"/>
  <c r="I36" i="2" l="1"/>
  <c r="F23" i="2"/>
  <c r="F25" i="2" s="1"/>
  <c r="K25" i="2" s="1"/>
  <c r="I12" i="2"/>
  <c r="I25" i="2"/>
  <c r="F29" i="2"/>
  <c r="F31" i="2" s="1"/>
  <c r="I6" i="2"/>
  <c r="F34" i="2"/>
  <c r="F36" i="2" s="1"/>
  <c r="F16" i="2"/>
  <c r="F18" i="2" s="1"/>
  <c r="F22" i="2"/>
  <c r="I18" i="2"/>
  <c r="F3" i="2"/>
  <c r="F10" i="2"/>
  <c r="F12" i="2" s="1"/>
  <c r="F4" i="2"/>
  <c r="I31" i="2"/>
  <c r="F6" i="2" l="1"/>
  <c r="M46" i="1" s="1"/>
  <c r="K36" i="2"/>
  <c r="M62" i="1"/>
  <c r="J36" i="2"/>
  <c r="J12" i="2"/>
  <c r="S49" i="1" s="1"/>
  <c r="M49" i="1"/>
  <c r="K12" i="2"/>
  <c r="M55" i="1"/>
  <c r="K31" i="2"/>
  <c r="M60" i="1"/>
  <c r="J25" i="2"/>
  <c r="S55" i="1" s="1"/>
  <c r="M52" i="1"/>
  <c r="J18" i="2"/>
  <c r="S52" i="1" s="1"/>
  <c r="K18" i="2"/>
  <c r="J6" i="2" l="1"/>
  <c r="S46" i="1" s="1"/>
  <c r="K6" i="2"/>
  <c r="Q56" i="1"/>
  <c r="K38" i="2"/>
  <c r="Q50" i="1"/>
  <c r="Q53" i="1"/>
  <c r="S62" i="1"/>
  <c r="J31" i="2"/>
  <c r="S60" i="1" s="1"/>
  <c r="Q47" i="1" l="1"/>
  <c r="S77" i="1"/>
  <c r="J38" i="2"/>
  <c r="Q63" i="1" s="1"/>
</calcChain>
</file>

<file path=xl/sharedStrings.xml><?xml version="1.0" encoding="utf-8"?>
<sst xmlns="http://schemas.openxmlformats.org/spreadsheetml/2006/main" count="146" uniqueCount="123">
  <si>
    <t>Geen dakisolatie</t>
  </si>
  <si>
    <t>Type dakisolatie</t>
  </si>
  <si>
    <t>Nummer</t>
  </si>
  <si>
    <t>Keuze</t>
  </si>
  <si>
    <t>min m2</t>
  </si>
  <si>
    <t>max m2</t>
  </si>
  <si>
    <t>bedrag/m2</t>
  </si>
  <si>
    <t>Kies dakisolatie:</t>
  </si>
  <si>
    <t>Kies gevelisolatie:</t>
  </si>
  <si>
    <t>Kies spouwmuurisolatie:</t>
  </si>
  <si>
    <t>Kies vloerisolatie:</t>
  </si>
  <si>
    <r>
      <t xml:space="preserve">Dakisolatie, Rd </t>
    </r>
    <r>
      <rPr>
        <sz val="11"/>
        <color theme="1"/>
        <rFont val="Calibri"/>
        <family val="2"/>
      </rPr>
      <t>≥ 3,5 m2 K/W</t>
    </r>
  </si>
  <si>
    <t>Zolder- of vlieringisolatie, Rd ≥ 3,5 m2 K/W</t>
  </si>
  <si>
    <t>Type gevelisolatie</t>
  </si>
  <si>
    <t>Geen gevelisolatie</t>
  </si>
  <si>
    <t>Binnen- of buitengevelisolatie, Rd ≥ 3,5 m2 K/W</t>
  </si>
  <si>
    <t>Type spouwmuurisolatie</t>
  </si>
  <si>
    <t>Geen spouwmuurisolatie</t>
  </si>
  <si>
    <t>Spouwmuurisolatie, Rd ≥ 1,1 m2 K/W</t>
  </si>
  <si>
    <t>Type vloerisolatie</t>
  </si>
  <si>
    <t>Geen vloerisolatie</t>
  </si>
  <si>
    <t>Vloerisolatie, Rd ≥ 3,5 m2 K/W</t>
  </si>
  <si>
    <t>Bodemisolatie, Rd ≥ 3,5 m2 K/W</t>
  </si>
  <si>
    <t>Type glasisolatie</t>
  </si>
  <si>
    <r>
      <t>Subsidiabel oppervlak min. (m</t>
    </r>
    <r>
      <rPr>
        <vertAlign val="superscript"/>
        <sz val="11"/>
        <color theme="1"/>
        <rFont val="Calibri"/>
        <family val="2"/>
        <scheme val="minor"/>
      </rPr>
      <t>2</t>
    </r>
    <r>
      <rPr>
        <sz val="11"/>
        <color theme="1"/>
        <rFont val="Calibri"/>
        <family val="2"/>
        <scheme val="minor"/>
      </rPr>
      <t>) - max. (m</t>
    </r>
    <r>
      <rPr>
        <vertAlign val="superscript"/>
        <sz val="11"/>
        <color theme="1"/>
        <rFont val="Calibri"/>
        <family val="2"/>
        <scheme val="minor"/>
      </rPr>
      <t>2</t>
    </r>
    <r>
      <rPr>
        <sz val="11"/>
        <color theme="1"/>
        <rFont val="Calibri"/>
        <family val="2"/>
        <scheme val="minor"/>
      </rPr>
      <t>)</t>
    </r>
  </si>
  <si>
    <r>
      <t>Subsidiebedrag per m</t>
    </r>
    <r>
      <rPr>
        <vertAlign val="superscript"/>
        <sz val="11"/>
        <color theme="1"/>
        <rFont val="Calibri"/>
        <family val="2"/>
        <scheme val="minor"/>
      </rPr>
      <t>2</t>
    </r>
    <r>
      <rPr>
        <sz val="11"/>
        <color theme="1"/>
        <rFont val="Calibri"/>
        <family val="2"/>
        <scheme val="minor"/>
      </rPr>
      <t xml:space="preserve"> (€)</t>
    </r>
  </si>
  <si>
    <r>
      <t>Te isoleren oppervlak (m</t>
    </r>
    <r>
      <rPr>
        <vertAlign val="superscript"/>
        <sz val="11"/>
        <color theme="1"/>
        <rFont val="Calibri"/>
        <family val="2"/>
        <scheme val="minor"/>
      </rPr>
      <t>2</t>
    </r>
    <r>
      <rPr>
        <sz val="11"/>
        <color theme="1"/>
        <rFont val="Calibri"/>
        <family val="2"/>
        <scheme val="minor"/>
      </rPr>
      <t>)</t>
    </r>
  </si>
  <si>
    <r>
      <t>Subsidiabele m</t>
    </r>
    <r>
      <rPr>
        <vertAlign val="superscript"/>
        <sz val="11"/>
        <color theme="1"/>
        <rFont val="Calibri"/>
        <family val="2"/>
        <scheme val="minor"/>
      </rPr>
      <t>2</t>
    </r>
    <r>
      <rPr>
        <sz val="11"/>
        <color theme="1"/>
        <rFont val="Calibri"/>
        <family val="2"/>
        <scheme val="minor"/>
      </rPr>
      <t xml:space="preserve"> </t>
    </r>
  </si>
  <si>
    <t>Rekentool subsidie energiebesparende maatregelen gemeente Eersel</t>
  </si>
  <si>
    <t xml:space="preserve">Een eengezinswoning vormt tevens een geheel pand. Hieronder vallen onder andere vrijstaande woningen, twee onder één kap woningen of rijtjeshuizen. </t>
  </si>
  <si>
    <t>Voor de subsidie komen alleen woningen in aanmerking die zijn gebouwd 
vóór 1 januari 2019.</t>
  </si>
  <si>
    <t>vragen woning</t>
  </si>
  <si>
    <t>eigenaar</t>
  </si>
  <si>
    <t>ja</t>
  </si>
  <si>
    <t>nee</t>
  </si>
  <si>
    <t>hoofdverblijf</t>
  </si>
  <si>
    <t>eengezinswoning</t>
  </si>
  <si>
    <t>Bouwjaar</t>
  </si>
  <si>
    <t>Energielabel</t>
  </si>
  <si>
    <t>WOZ</t>
  </si>
  <si>
    <t>vraag</t>
  </si>
  <si>
    <t>opties</t>
  </si>
  <si>
    <t>A(+++)</t>
  </si>
  <si>
    <t>B</t>
  </si>
  <si>
    <t>C</t>
  </si>
  <si>
    <t>D</t>
  </si>
  <si>
    <t>E</t>
  </si>
  <si>
    <t>F</t>
  </si>
  <si>
    <t>G</t>
  </si>
  <si>
    <t>Geen label</t>
  </si>
  <si>
    <t>tekst</t>
  </si>
  <si>
    <t>Alleen eengezinswoningen komen in aanmerking voor deze subsidie</t>
  </si>
  <si>
    <t>Alleen woningen die vóór 1 januari 2019 gebouwd zijn komen in aanmerking voor de subsidie</t>
  </si>
  <si>
    <t>voldoet - geen label</t>
  </si>
  <si>
    <t>voldoet - slecht label</t>
  </si>
  <si>
    <t>voldoet niet</t>
  </si>
  <si>
    <t>Kies glasisolatie:</t>
  </si>
  <si>
    <r>
      <t>Subsidiebedrag maatregel (</t>
    </r>
    <r>
      <rPr>
        <sz val="11"/>
        <color theme="1"/>
        <rFont val="Calibri"/>
        <family val="2"/>
      </rPr>
      <t>€)</t>
    </r>
  </si>
  <si>
    <t>isoleren opp.</t>
  </si>
  <si>
    <t>subsidiabele m2</t>
  </si>
  <si>
    <t>dak</t>
  </si>
  <si>
    <t>gevel</t>
  </si>
  <si>
    <t>spouwmuur</t>
  </si>
  <si>
    <t>vloer</t>
  </si>
  <si>
    <t>glas</t>
  </si>
  <si>
    <t>Warmtepomp</t>
  </si>
  <si>
    <t>Zonneboiler</t>
  </si>
  <si>
    <t>warmtepomp</t>
  </si>
  <si>
    <t>zonneboiler</t>
  </si>
  <si>
    <t>verdubbeling mogelijk</t>
  </si>
  <si>
    <t>voorwaarden verdubbeling</t>
  </si>
  <si>
    <t>verdubbeling berekenen</t>
  </si>
  <si>
    <t>max subsidie</t>
  </si>
  <si>
    <t>som 1'en</t>
  </si>
  <si>
    <t>Min som voor verdubbeling</t>
  </si>
  <si>
    <t>Aanschafkosten (€)</t>
  </si>
  <si>
    <t>4. Indicatie subsidiebedrag</t>
  </si>
  <si>
    <r>
      <t>Subsidiebedrag warmtepomp (</t>
    </r>
    <r>
      <rPr>
        <sz val="11"/>
        <color theme="1"/>
        <rFont val="Calibri"/>
        <family val="2"/>
      </rPr>
      <t>€)</t>
    </r>
  </si>
  <si>
    <r>
      <t>Subsidiebedrag zonneboiler (</t>
    </r>
    <r>
      <rPr>
        <sz val="11"/>
        <color theme="1"/>
        <rFont val="Calibri"/>
        <family val="2"/>
      </rPr>
      <t>€)</t>
    </r>
  </si>
  <si>
    <t>Geen HR++ glas</t>
  </si>
  <si>
    <r>
      <t xml:space="preserve">HR++ glas, U </t>
    </r>
    <r>
      <rPr>
        <sz val="11"/>
        <color theme="1"/>
        <rFont val="Calibri"/>
        <family val="2"/>
      </rPr>
      <t xml:space="preserve">≤ 1,2 W/m2K </t>
    </r>
  </si>
  <si>
    <t>Triple glas, U ≤ 0,7 W/m2K</t>
  </si>
  <si>
    <t>Geen Triple glas</t>
  </si>
  <si>
    <t>Glasisolatie</t>
  </si>
  <si>
    <t>subsidiebedrag met cap</t>
  </si>
  <si>
    <t>subsidiebedrag zonder cap</t>
  </si>
  <si>
    <t xml:space="preserve">Subsidie </t>
  </si>
  <si>
    <t>Geen subsidie</t>
  </si>
  <si>
    <t>voldoet niet voor subsidie</t>
  </si>
  <si>
    <t>Let op:</t>
  </si>
  <si>
    <r>
      <t>Gezamenlijk subsidiabel oppervlak 
min. (m</t>
    </r>
    <r>
      <rPr>
        <vertAlign val="superscript"/>
        <sz val="11"/>
        <color theme="1"/>
        <rFont val="Calibri"/>
        <family val="2"/>
        <scheme val="minor"/>
      </rPr>
      <t>2</t>
    </r>
    <r>
      <rPr>
        <sz val="11"/>
        <color theme="1"/>
        <rFont val="Calibri"/>
        <family val="2"/>
        <scheme val="minor"/>
      </rPr>
      <t>) - max. (m</t>
    </r>
    <r>
      <rPr>
        <vertAlign val="superscript"/>
        <sz val="11"/>
        <color theme="1"/>
        <rFont val="Calibri"/>
        <family val="2"/>
        <scheme val="minor"/>
      </rPr>
      <t>2</t>
    </r>
    <r>
      <rPr>
        <sz val="11"/>
        <color theme="1"/>
        <rFont val="Calibri"/>
        <family val="2"/>
        <scheme val="minor"/>
      </rPr>
      <t>)</t>
    </r>
  </si>
  <si>
    <t>niet leeg</t>
  </si>
  <si>
    <r>
      <t>Je moet nog een oppervlakte in m</t>
    </r>
    <r>
      <rPr>
        <sz val="11"/>
        <color theme="1"/>
        <rFont val="Calibri"/>
        <family val="2"/>
      </rPr>
      <t>²</t>
    </r>
    <r>
      <rPr>
        <sz val="11"/>
        <color theme="1"/>
        <rFont val="Calibri"/>
        <family val="2"/>
        <scheme val="minor"/>
      </rPr>
      <t xml:space="preserve"> invullen!</t>
    </r>
  </si>
  <si>
    <t>Je voldoet niet aan de minimum oppervlakte om voor subsidie in aanmerking te komen!</t>
  </si>
  <si>
    <t xml:space="preserve">Je kunt maximaal €750,00 subsidie krijgen per maatregel. Je hebt dit bedrag bereikt. </t>
  </si>
  <si>
    <t>Je kunt maximaal €1.500,00 subsidie krijgen per maatregel. Je hebt dit bedrag bereikt.</t>
  </si>
  <si>
    <t>Om deze subsidie aan te kunnen vragen moet je eigenaar zijn van de woning</t>
  </si>
  <si>
    <t>Om deze subsidie aan te kunnen vragen moet je jouw hoofdverblijf hebben in de woning</t>
  </si>
  <si>
    <t>De WOZ-waarde van je woning is te hoog om recht te hebben op de extra subsidie</t>
  </si>
  <si>
    <t>Je energielabel is te hoog om recht te hebben op de extra subsidie</t>
  </si>
  <si>
    <t xml:space="preserve">Je voldoet niet aan de voorwaarden voor deze subsidie. </t>
  </si>
  <si>
    <t>1. Vragen over jouw woning</t>
  </si>
  <si>
    <t>Ben je eigenaar van de woning waarvoor je subsidie wil aanvragen?</t>
  </si>
  <si>
    <t xml:space="preserve">De subsidie is alleen voor woningeigenaren. Ben je geen eigenaar, dan kun 
je geen subsidie aanvragen. </t>
  </si>
  <si>
    <t xml:space="preserve">Heb je jouw hoofdverblijf in de woning waarvoor je subsidie wil aanvragen? </t>
  </si>
  <si>
    <t>Als je woont in deze woning en ook bij de gemeente op dit adres staat ingeschreven, dan kunt je hier 'ja' invullen.</t>
  </si>
  <si>
    <t xml:space="preserve">Is de woning waarvoor je subsidie wil aanvragen een eengezinswoning? </t>
  </si>
  <si>
    <t xml:space="preserve">Wat is het bouwjaar van de woning waarvoor je subsidie wil aanvragen? </t>
  </si>
  <si>
    <t xml:space="preserve">Wat is het energielabel van de woning waarvoor je subsidie wil aanvragen? </t>
  </si>
  <si>
    <r>
      <t xml:space="preserve">Heeft jouw een woning met een laag energielabel, dan kun je mogelijk extra 
subsidie ontvangen. Op </t>
    </r>
    <r>
      <rPr>
        <i/>
        <u/>
        <sz val="10"/>
        <color rgb="FF00B0F0"/>
        <rFont val="Calibri"/>
        <family val="2"/>
        <scheme val="minor"/>
      </rPr>
      <t>www.energielabel.nl</t>
    </r>
    <r>
      <rPr>
        <i/>
        <sz val="10"/>
        <color theme="1"/>
        <rFont val="Calibri"/>
        <family val="2"/>
        <scheme val="minor"/>
      </rPr>
      <t xml:space="preserve"> kun je zien of en welk 
energielabel jouw woning heeft. </t>
    </r>
  </si>
  <si>
    <t xml:space="preserve">2. Wil je isolatiemaatregelen laten uitvoeren? </t>
  </si>
  <si>
    <t>Kies in je subsidieaanvraag tussen dakisolatie of zolder-/vlieringvloerisolatie. Je krijgt maar voor één van deze maatregelen subsidie.</t>
  </si>
  <si>
    <t>Kies in je subsidieaanvraag tussen vloerisolatie of bodemisolatie. Je krijgt maar voor één van deze maatregelen subsidie.</t>
  </si>
  <si>
    <t xml:space="preserve">3. Wil je een warmtepomp en/of zonneboiler aanschaffen? </t>
  </si>
  <si>
    <t xml:space="preserve">Wil je een zonneboiler aanschaffen? </t>
  </si>
  <si>
    <r>
      <t>Totaal indicatief subsidiebedrag (</t>
    </r>
    <r>
      <rPr>
        <b/>
        <sz val="14"/>
        <color rgb="FF007A68"/>
        <rFont val="Calibri"/>
        <family val="2"/>
      </rPr>
      <t>€)</t>
    </r>
  </si>
  <si>
    <t xml:space="preserve">Wil je een warmtepomp aanschaffen? </t>
  </si>
  <si>
    <t xml:space="preserve">Je hebt mogelijk recht op extra subsidie. Wanneer je subsidie aanvraagt, wordt het subsidiebedrag voor de isolatiemaatregelen verdubbeld. </t>
  </si>
  <si>
    <t xml:space="preserve">Je hebt mogelijk recht op extra subsidie. Wanneer je voor ten minste 2 isolatiemaatregelen subsidie aanvraagt, wordt het subsidiebedrag voor de isolatiemaatregelen verdubbeld. 
Vraag je voor één isolatiemaatregel subsidie aan, dan moet je bewijzen dat je woning slecht geïsoleerd is. Neem dan bijvoorbeeld contact op met de energiecoach.  </t>
  </si>
  <si>
    <r>
      <t xml:space="preserve">Bereken met deze rekentool hoeveel subsidie je kunt verwachten als je één of meerdere energiebesparende maatregelen neemt. 
Je kunt subsidie aanvragen voor het laten aanbrengen van isolatiemaatregelen, een warmtepomp en een zonneboiler. 
</t>
    </r>
    <r>
      <rPr>
        <b/>
        <sz val="11"/>
        <color rgb="FFFF0000"/>
        <rFont val="Calibri"/>
        <family val="2"/>
        <scheme val="minor"/>
      </rPr>
      <t>Let op: Je kunt alleen subsidie aanvragen voor maatregelen die je hebt laten uitvoeren op of ná 1 januari 2023.</t>
    </r>
    <r>
      <rPr>
        <b/>
        <sz val="11"/>
        <color theme="1"/>
        <rFont val="Calibri"/>
        <family val="2"/>
        <scheme val="minor"/>
      </rPr>
      <t xml:space="preserve"> </t>
    </r>
    <r>
      <rPr>
        <sz val="11"/>
        <color theme="1"/>
        <rFont val="Calibri"/>
        <family val="2"/>
        <scheme val="minor"/>
      </rPr>
      <t xml:space="preserve">
Lees ook alle informatie op de website en in de subsdieregeling goed door voordat je een subsidieaanvraag doet.  
Vul deze rekentool volledig in en krijg een goede indicatie van het te verwachten subsidiebedrag. De berekeningen zijn slechts een indicatie. Aan de berekeningen kunnen geen rechten worden ontleend. 
Naast deze gemeentelijke subsidie kun je ook nog subsidie krijgen via de ISDE-regeling van het Rijk. Kijk op </t>
    </r>
    <r>
      <rPr>
        <u/>
        <sz val="11"/>
        <color rgb="FF00B0F0"/>
        <rFont val="Calibri"/>
        <family val="2"/>
        <scheme val="minor"/>
      </rPr>
      <t>https://www.rvo.nl/subsidies-financiering/isde/woningeigenaren</t>
    </r>
    <r>
      <rPr>
        <sz val="11"/>
        <color theme="1"/>
        <rFont val="Calibri"/>
        <family val="2"/>
        <scheme val="minor"/>
      </rPr>
      <t xml:space="preserve"> voor meer informatie over de ISDE-subsidie. 
Heb je nog vragen voordat je een subsidieaanvraag wil doen? Vul dan het contactformulier energiecoach in. Dan neemt een van onze energiecoaches snel contact met je op. </t>
    </r>
  </si>
  <si>
    <t xml:space="preserve">Was de WOZ-waarde van je woning lager dan €447.000 (peiljaar 2022) 
of €547.000 (peiljaar 2024)? </t>
  </si>
  <si>
    <r>
      <t xml:space="preserve">Heeft jouww woning een lage WOZ-waarde, dan kun je misschien extra 
subsidie ontvangen. 
Je kunt de WOZ-waarde terugvinden op </t>
    </r>
    <r>
      <rPr>
        <i/>
        <u/>
        <sz val="10"/>
        <color rgb="FF00B0F0"/>
        <rFont val="Calibri"/>
        <family val="2"/>
        <scheme val="minor"/>
      </rPr>
      <t>www.wozwaardeloket.nl</t>
    </r>
  </si>
  <si>
    <t xml:space="preserve">(versie oktober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</si>
</sst>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vertAlign val="superscript"/>
      <sz val="11"/>
      <color theme="1"/>
      <name val="Calibri"/>
      <family val="2"/>
      <scheme val="minor"/>
    </font>
    <font>
      <b/>
      <sz val="16"/>
      <color theme="1"/>
      <name val="Calibri"/>
      <family val="2"/>
      <scheme val="minor"/>
    </font>
    <font>
      <i/>
      <sz val="10"/>
      <color theme="1"/>
      <name val="Calibri"/>
      <family val="2"/>
      <scheme val="minor"/>
    </font>
    <font>
      <b/>
      <sz val="11"/>
      <color rgb="FFFF0000"/>
      <name val="Calibri"/>
      <family val="2"/>
      <scheme val="minor"/>
    </font>
    <font>
      <b/>
      <sz val="16"/>
      <color rgb="FFFF0000"/>
      <name val="Calibri"/>
      <family val="2"/>
      <scheme val="minor"/>
    </font>
    <font>
      <u/>
      <sz val="11"/>
      <color rgb="FF00B0F0"/>
      <name val="Calibri"/>
      <family val="2"/>
      <scheme val="minor"/>
    </font>
    <font>
      <sz val="11"/>
      <color rgb="FF58A9AE"/>
      <name val="Calibri"/>
      <family val="2"/>
      <scheme val="minor"/>
    </font>
    <font>
      <u/>
      <sz val="11"/>
      <color theme="10"/>
      <name val="Calibri"/>
      <family val="2"/>
      <scheme val="minor"/>
    </font>
    <font>
      <i/>
      <u/>
      <sz val="10"/>
      <color rgb="FF00B0F0"/>
      <name val="Calibri"/>
      <family val="2"/>
      <scheme val="minor"/>
    </font>
    <font>
      <b/>
      <sz val="20"/>
      <color rgb="FF007A68"/>
      <name val="Calibri"/>
      <family val="2"/>
      <scheme val="minor"/>
    </font>
    <font>
      <b/>
      <sz val="16"/>
      <color rgb="FF007A68"/>
      <name val="Calibri"/>
      <family val="2"/>
      <scheme val="minor"/>
    </font>
    <font>
      <b/>
      <sz val="14"/>
      <color rgb="FF007A68"/>
      <name val="Calibri"/>
      <family val="2"/>
      <scheme val="minor"/>
    </font>
    <font>
      <b/>
      <sz val="14"/>
      <color rgb="FF007A68"/>
      <name val="Calibri"/>
      <family val="2"/>
    </font>
  </fonts>
  <fills count="4">
    <fill>
      <patternFill patternType="none"/>
    </fill>
    <fill>
      <patternFill patternType="gray125"/>
    </fill>
    <fill>
      <patternFill patternType="solid">
        <fgColor theme="0"/>
        <bgColor indexed="64"/>
      </patternFill>
    </fill>
    <fill>
      <patternFill patternType="solid">
        <fgColor rgb="FFEDE400"/>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37">
    <xf numFmtId="0" fontId="0" fillId="0" borderId="0" xfId="0"/>
    <xf numFmtId="0" fontId="0" fillId="0" borderId="1" xfId="0" applyBorder="1"/>
    <xf numFmtId="44" fontId="0" fillId="0" borderId="0" xfId="1" applyFont="1"/>
    <xf numFmtId="44" fontId="0" fillId="0" borderId="0" xfId="0" applyNumberFormat="1"/>
    <xf numFmtId="0" fontId="0" fillId="0" borderId="2" xfId="0" applyBorder="1"/>
    <xf numFmtId="0" fontId="0" fillId="0" borderId="0" xfId="1" applyNumberFormat="1" applyFont="1"/>
    <xf numFmtId="0" fontId="0" fillId="0" borderId="3" xfId="0" applyBorder="1"/>
    <xf numFmtId="44" fontId="0" fillId="3" borderId="2" xfId="1" applyFont="1" applyFill="1" applyBorder="1"/>
    <xf numFmtId="0" fontId="0" fillId="3" borderId="2" xfId="0" applyFill="1" applyBorder="1"/>
    <xf numFmtId="0" fontId="11" fillId="0" borderId="0" xfId="2" quotePrefix="1"/>
    <xf numFmtId="0" fontId="0" fillId="2" borderId="0" xfId="0" applyFill="1"/>
    <xf numFmtId="0" fontId="7" fillId="2" borderId="0" xfId="0" applyFont="1" applyFill="1"/>
    <xf numFmtId="0" fontId="2" fillId="2" borderId="0" xfId="0" applyFont="1" applyFill="1"/>
    <xf numFmtId="16" fontId="0" fillId="2" borderId="0" xfId="0" applyNumberFormat="1" applyFill="1"/>
    <xf numFmtId="0" fontId="6" fillId="2" borderId="0" xfId="0" applyFont="1" applyFill="1" applyAlignment="1">
      <alignment horizontal="left" vertical="top" wrapText="1"/>
    </xf>
    <xf numFmtId="0" fontId="0" fillId="2" borderId="2" xfId="0" applyFill="1" applyBorder="1"/>
    <xf numFmtId="0" fontId="8" fillId="2" borderId="0" xfId="0" applyFont="1" applyFill="1" applyAlignment="1">
      <alignment vertical="top" wrapText="1"/>
    </xf>
    <xf numFmtId="0" fontId="0" fillId="2" borderId="0" xfId="0" applyFill="1" applyAlignment="1">
      <alignment horizontal="center" wrapText="1"/>
    </xf>
    <xf numFmtId="0" fontId="0" fillId="2" borderId="0" xfId="0" applyFill="1" applyAlignment="1">
      <alignment wrapText="1"/>
    </xf>
    <xf numFmtId="0" fontId="0" fillId="2" borderId="0" xfId="0" applyFill="1" applyAlignment="1">
      <alignment horizontal="left" wrapText="1"/>
    </xf>
    <xf numFmtId="0" fontId="0" fillId="2" borderId="2" xfId="0" applyFill="1" applyBorder="1" applyAlignment="1">
      <alignment horizontal="center"/>
    </xf>
    <xf numFmtId="44" fontId="0" fillId="2" borderId="2" xfId="0" applyNumberFormat="1" applyFill="1" applyBorder="1"/>
    <xf numFmtId="0" fontId="5" fillId="2" borderId="0" xfId="0" applyFont="1" applyFill="1"/>
    <xf numFmtId="0" fontId="10" fillId="2" borderId="0" xfId="0" applyFont="1" applyFill="1"/>
    <xf numFmtId="0" fontId="13" fillId="2" borderId="0" xfId="0" applyFont="1" applyFill="1"/>
    <xf numFmtId="0" fontId="14" fillId="2" borderId="0" xfId="0" applyFont="1" applyFill="1"/>
    <xf numFmtId="0" fontId="15" fillId="2" borderId="0" xfId="0" applyFont="1" applyFill="1"/>
    <xf numFmtId="44" fontId="15" fillId="2" borderId="0" xfId="0" applyNumberFormat="1" applyFont="1" applyFill="1"/>
    <xf numFmtId="0" fontId="0" fillId="2" borderId="0" xfId="0" applyFill="1" applyAlignment="1">
      <alignment horizontal="center"/>
    </xf>
    <xf numFmtId="0" fontId="0" fillId="2" borderId="0" xfId="0" applyFill="1" applyAlignment="1">
      <alignment horizontal="left" vertical="center" wrapText="1"/>
    </xf>
    <xf numFmtId="0" fontId="6" fillId="2" borderId="0" xfId="0" applyFont="1" applyFill="1" applyAlignment="1">
      <alignment horizontal="left"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8" fillId="2" borderId="0" xfId="0" applyFont="1" applyFill="1" applyAlignment="1">
      <alignment horizontal="left" vertical="center" wrapText="1"/>
    </xf>
    <xf numFmtId="44" fontId="0" fillId="0" borderId="0" xfId="1" applyFont="1" applyFill="1" applyBorder="1"/>
    <xf numFmtId="0" fontId="7" fillId="2" borderId="0" xfId="0" applyFont="1" applyFill="1" applyAlignment="1">
      <alignment vertical="top"/>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58A9AE"/>
      <color rgb="FF007A68"/>
      <color rgb="FFEDE400"/>
      <color rgb="FF5F80AD"/>
      <color rgb="FF7693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List" dx="22" fmlaLink="'Berekening subsidies'!$C$6" fmlaRange="'Berekening subsidies'!$B$2:$B$4" sel="1" val="0"/>
</file>

<file path=xl/ctrlProps/ctrlProp10.xml><?xml version="1.0" encoding="utf-8"?>
<formControlPr xmlns="http://schemas.microsoft.com/office/spreadsheetml/2009/9/main" objectType="List" dx="22" fmlaLink="'Berekening subsidies'!$C$44" fmlaRange="'Berekening subsidies'!$B$41:$B$42" sel="1" val="0"/>
</file>

<file path=xl/ctrlProps/ctrlProp11.xml><?xml version="1.0" encoding="utf-8"?>
<formControlPr xmlns="http://schemas.microsoft.com/office/spreadsheetml/2009/9/main" objectType="List" dx="22" fmlaLink="'Berekening subsidies'!$C$50" fmlaRange="'Berekening subsidies'!$B$47:$B$48" sel="1" val="0"/>
</file>

<file path=xl/ctrlProps/ctrlProp12.xml><?xml version="1.0" encoding="utf-8"?>
<formControlPr xmlns="http://schemas.microsoft.com/office/spreadsheetml/2009/9/main" objectType="List" dx="22" fmlaLink="'Berekening subsidies'!$C$36" fmlaRange="'Berekening subsidies'!$B$33:$B$34" sel="1" val="0"/>
</file>

<file path=xl/ctrlProps/ctrlProp13.xml><?xml version="1.0" encoding="utf-8"?>
<formControlPr xmlns="http://schemas.microsoft.com/office/spreadsheetml/2009/9/main" objectType="List" dx="22" fmlaLink="'Berekening voorwaarden'!$B$17" fmlaRange="'Berekening voorwaarden'!$C$16:$C$17" sel="0" val="0"/>
</file>

<file path=xl/ctrlProps/ctrlProp2.xml><?xml version="1.0" encoding="utf-8"?>
<formControlPr xmlns="http://schemas.microsoft.com/office/spreadsheetml/2009/9/main" objectType="List" dx="22" fmlaLink="'Berekening subsidies'!$C$12" fmlaRange="'Berekening subsidies'!$B$9:$B$10" sel="1" val="0"/>
</file>

<file path=xl/ctrlProps/ctrlProp3.xml><?xml version="1.0" encoding="utf-8"?>
<formControlPr xmlns="http://schemas.microsoft.com/office/spreadsheetml/2009/9/main" objectType="List" dx="22" fmlaLink="'Berekening subsidies'!$C$18" fmlaRange="'Berekening subsidies'!$B$15:$B$16" sel="1" val="0"/>
</file>

<file path=xl/ctrlProps/ctrlProp4.xml><?xml version="1.0" encoding="utf-8"?>
<formControlPr xmlns="http://schemas.microsoft.com/office/spreadsheetml/2009/9/main" objectType="List" dx="22" fmlaLink="'Berekening subsidies'!$C$25" fmlaRange="'Berekening subsidies'!$B$21:$B$23" sel="1" val="0"/>
</file>

<file path=xl/ctrlProps/ctrlProp5.xml><?xml version="1.0" encoding="utf-8"?>
<formControlPr xmlns="http://schemas.microsoft.com/office/spreadsheetml/2009/9/main" objectType="List" dx="22" fmlaLink="'Berekening voorwaarden'!$B$11" fmlaRange="'Berekening voorwaarden'!$C$10:$C$11" sel="0" val="0"/>
</file>

<file path=xl/ctrlProps/ctrlProp6.xml><?xml version="1.0" encoding="utf-8"?>
<formControlPr xmlns="http://schemas.microsoft.com/office/spreadsheetml/2009/9/main" objectType="List" dx="22" fmlaLink="'Berekening voorwaarden'!$B$5" fmlaRange="'Berekening voorwaarden'!$C$4:$C$5" sel="0" val="0"/>
</file>

<file path=xl/ctrlProps/ctrlProp7.xml><?xml version="1.0" encoding="utf-8"?>
<formControlPr xmlns="http://schemas.microsoft.com/office/spreadsheetml/2009/9/main" objectType="List" dx="22" fmlaLink="'Berekening voorwaarden'!$B$8" fmlaRange="'Berekening voorwaarden'!$C$7:$C$8" sel="0" val="0"/>
</file>

<file path=xl/ctrlProps/ctrlProp8.xml><?xml version="1.0" encoding="utf-8"?>
<formControlPr xmlns="http://schemas.microsoft.com/office/spreadsheetml/2009/9/main" objectType="List" dx="22" fmlaLink="'Berekening voorwaarden'!$B$20" fmlaRange="'Berekening voorwaarden'!$C$19:$C$26" sel="0" val="0"/>
</file>

<file path=xl/ctrlProps/ctrlProp9.xml><?xml version="1.0" encoding="utf-8"?>
<formControlPr xmlns="http://schemas.microsoft.com/office/spreadsheetml/2009/9/main" objectType="List" dx="22" fmlaLink="'Berekening subsidies'!$C$31" fmlaRange="'Berekening subsidies'!$B$28:$B$29" sel="1" val="0"/>
</file>

<file path=xl/drawings/_rels/drawing1.xml.rels><?xml version="1.0" encoding="UTF-8" standalone="yes"?>
<Relationships xmlns="http://schemas.openxmlformats.org/package/2006/relationships"><Relationship Id="rId3" Type="http://schemas.openxmlformats.org/officeDocument/2006/relationships/hyperlink" Target="https://www.eersel.nl/gemeentelijke-subsidie-energiebesparing" TargetMode="External"/><Relationship Id="rId7" Type="http://schemas.openxmlformats.org/officeDocument/2006/relationships/hyperlink" Target="https://www.wozwaardeloket.nl/" TargetMode="External"/><Relationship Id="rId2" Type="http://schemas.openxmlformats.org/officeDocument/2006/relationships/image" Target="../media/image1.jpg"/><Relationship Id="rId1" Type="http://schemas.openxmlformats.org/officeDocument/2006/relationships/hyperlink" Target="https://www.rvo.nl/subsidies-financiering/isde/woningeigenaren" TargetMode="External"/><Relationship Id="rId6" Type="http://schemas.openxmlformats.org/officeDocument/2006/relationships/hyperlink" Target="https://www.eersel.nl/form/contactformulier-energiecoach/je-gegevens-0" TargetMode="External"/><Relationship Id="rId5" Type="http://schemas.openxmlformats.org/officeDocument/2006/relationships/hyperlink" Target="https://www.energielabel.nl/woningen/zoek-je-energielabel/" TargetMode="External"/><Relationship Id="rId4" Type="http://schemas.openxmlformats.org/officeDocument/2006/relationships/hyperlink" Target="https://lokaleregelgeving.overheid.nl/CVDR699238"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45</xdr:row>
          <xdr:rowOff>0</xdr:rowOff>
        </xdr:from>
        <xdr:to>
          <xdr:col>9</xdr:col>
          <xdr:colOff>247650</xdr:colOff>
          <xdr:row>47</xdr:row>
          <xdr:rowOff>47625</xdr:rowOff>
        </xdr:to>
        <xdr:sp macro="" textlink="">
          <xdr:nvSpPr>
            <xdr:cNvPr id="1028" name="List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9</xdr:col>
          <xdr:colOff>247650</xdr:colOff>
          <xdr:row>49</xdr:row>
          <xdr:rowOff>114300</xdr:rowOff>
        </xdr:to>
        <xdr:sp macro="" textlink="">
          <xdr:nvSpPr>
            <xdr:cNvPr id="1029" name="List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51</xdr:row>
          <xdr:rowOff>0</xdr:rowOff>
        </xdr:from>
        <xdr:to>
          <xdr:col>9</xdr:col>
          <xdr:colOff>247650</xdr:colOff>
          <xdr:row>52</xdr:row>
          <xdr:rowOff>114300</xdr:rowOff>
        </xdr:to>
        <xdr:sp macro="" textlink="">
          <xdr:nvSpPr>
            <xdr:cNvPr id="1030" name="List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0</xdr:rowOff>
        </xdr:from>
        <xdr:to>
          <xdr:col>9</xdr:col>
          <xdr:colOff>247650</xdr:colOff>
          <xdr:row>56</xdr:row>
          <xdr:rowOff>47625</xdr:rowOff>
        </xdr:to>
        <xdr:sp macro="" textlink="">
          <xdr:nvSpPr>
            <xdr:cNvPr id="1031" name="List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10</xdr:col>
          <xdr:colOff>0</xdr:colOff>
          <xdr:row>19</xdr:row>
          <xdr:rowOff>95250</xdr:rowOff>
        </xdr:to>
        <xdr:sp macro="" textlink="">
          <xdr:nvSpPr>
            <xdr:cNvPr id="1034" name="List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9525</xdr:rowOff>
        </xdr:from>
        <xdr:to>
          <xdr:col>10</xdr:col>
          <xdr:colOff>0</xdr:colOff>
          <xdr:row>11</xdr:row>
          <xdr:rowOff>123825</xdr:rowOff>
        </xdr:to>
        <xdr:sp macro="" textlink="">
          <xdr:nvSpPr>
            <xdr:cNvPr id="1035" name="List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0</xdr:colOff>
          <xdr:row>15</xdr:row>
          <xdr:rowOff>104775</xdr:rowOff>
        </xdr:to>
        <xdr:sp macro="" textlink="">
          <xdr:nvSpPr>
            <xdr:cNvPr id="1036" name="List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0</xdr:colOff>
          <xdr:row>35</xdr:row>
          <xdr:rowOff>114300</xdr:rowOff>
        </xdr:to>
        <xdr:sp macro="" textlink="">
          <xdr:nvSpPr>
            <xdr:cNvPr id="1037" name="List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59</xdr:row>
          <xdr:rowOff>0</xdr:rowOff>
        </xdr:from>
        <xdr:to>
          <xdr:col>9</xdr:col>
          <xdr:colOff>247650</xdr:colOff>
          <xdr:row>60</xdr:row>
          <xdr:rowOff>114300</xdr:rowOff>
        </xdr:to>
        <xdr:sp macro="" textlink="">
          <xdr:nvSpPr>
            <xdr:cNvPr id="1038" name="List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9</xdr:col>
          <xdr:colOff>209550</xdr:colOff>
          <xdr:row>69</xdr:row>
          <xdr:rowOff>114300</xdr:rowOff>
        </xdr:to>
        <xdr:sp macro="" textlink="">
          <xdr:nvSpPr>
            <xdr:cNvPr id="1096" name="List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9</xdr:col>
          <xdr:colOff>209550</xdr:colOff>
          <xdr:row>72</xdr:row>
          <xdr:rowOff>114300</xdr:rowOff>
        </xdr:to>
        <xdr:sp macro="" textlink="">
          <xdr:nvSpPr>
            <xdr:cNvPr id="1097" name="List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76200</xdr:rowOff>
        </xdr:from>
        <xdr:to>
          <xdr:col>9</xdr:col>
          <xdr:colOff>247650</xdr:colOff>
          <xdr:row>63</xdr:row>
          <xdr:rowOff>0</xdr:rowOff>
        </xdr:to>
        <xdr:sp macro="" textlink="">
          <xdr:nvSpPr>
            <xdr:cNvPr id="1098" name="List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552450</xdr:colOff>
      <xdr:row>6</xdr:row>
      <xdr:rowOff>1600199</xdr:rowOff>
    </xdr:from>
    <xdr:to>
      <xdr:col>13</xdr:col>
      <xdr:colOff>466724</xdr:colOff>
      <xdr:row>6</xdr:row>
      <xdr:rowOff>2181224</xdr:rowOff>
    </xdr:to>
    <xdr:sp macro="" textlink="">
      <xdr:nvSpPr>
        <xdr:cNvPr id="2" name="Rechthoek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562975" y="4019549"/>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Naar de ISDE-subsidie</a:t>
          </a:r>
        </a:p>
      </xdr:txBody>
    </xdr:sp>
    <xdr:clientData/>
  </xdr:twoCellAnchor>
  <xdr:twoCellAnchor editAs="oneCell">
    <xdr:from>
      <xdr:col>1</xdr:col>
      <xdr:colOff>28575</xdr:colOff>
      <xdr:row>0</xdr:row>
      <xdr:rowOff>66675</xdr:rowOff>
    </xdr:from>
    <xdr:to>
      <xdr:col>4</xdr:col>
      <xdr:colOff>485775</xdr:colOff>
      <xdr:row>2</xdr:row>
      <xdr:rowOff>180975</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5" y="66675"/>
          <a:ext cx="2286000" cy="1295400"/>
        </a:xfrm>
        <a:prstGeom prst="rect">
          <a:avLst/>
        </a:prstGeom>
      </xdr:spPr>
    </xdr:pic>
    <xdr:clientData/>
  </xdr:twoCellAnchor>
  <xdr:twoCellAnchor>
    <xdr:from>
      <xdr:col>11</xdr:col>
      <xdr:colOff>552450</xdr:colOff>
      <xdr:row>6</xdr:row>
      <xdr:rowOff>57150</xdr:rowOff>
    </xdr:from>
    <xdr:to>
      <xdr:col>13</xdr:col>
      <xdr:colOff>466724</xdr:colOff>
      <xdr:row>6</xdr:row>
      <xdr:rowOff>638175</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8562975" y="2476500"/>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Naar de website van de gemeente Eersel</a:t>
          </a:r>
        </a:p>
      </xdr:txBody>
    </xdr:sp>
    <xdr:clientData/>
  </xdr:twoCellAnchor>
  <xdr:twoCellAnchor>
    <xdr:from>
      <xdr:col>11</xdr:col>
      <xdr:colOff>552450</xdr:colOff>
      <xdr:row>6</xdr:row>
      <xdr:rowOff>838200</xdr:rowOff>
    </xdr:from>
    <xdr:to>
      <xdr:col>13</xdr:col>
      <xdr:colOff>466724</xdr:colOff>
      <xdr:row>6</xdr:row>
      <xdr:rowOff>1419225</xdr:rowOff>
    </xdr:to>
    <xdr:sp macro="" textlink="">
      <xdr:nvSpPr>
        <xdr:cNvPr id="4" name="Rechthoek 3">
          <a:hlinkClick xmlns:r="http://schemas.openxmlformats.org/officeDocument/2006/relationships" r:id="rId4"/>
          <a:extLst>
            <a:ext uri="{FF2B5EF4-FFF2-40B4-BE49-F238E27FC236}">
              <a16:creationId xmlns:a16="http://schemas.microsoft.com/office/drawing/2014/main" id="{00000000-0008-0000-0000-000004000000}"/>
            </a:ext>
          </a:extLst>
        </xdr:cNvPr>
        <xdr:cNvSpPr/>
      </xdr:nvSpPr>
      <xdr:spPr>
        <a:xfrm>
          <a:off x="8562975" y="3257550"/>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Naar de subsidieregeling</a:t>
          </a:r>
        </a:p>
      </xdr:txBody>
    </xdr:sp>
    <xdr:clientData/>
  </xdr:twoCellAnchor>
  <xdr:twoCellAnchor>
    <xdr:from>
      <xdr:col>11</xdr:col>
      <xdr:colOff>552450</xdr:colOff>
      <xdr:row>31</xdr:row>
      <xdr:rowOff>114300</xdr:rowOff>
    </xdr:from>
    <xdr:to>
      <xdr:col>13</xdr:col>
      <xdr:colOff>466724</xdr:colOff>
      <xdr:row>34</xdr:row>
      <xdr:rowOff>123825</xdr:rowOff>
    </xdr:to>
    <xdr:sp macro="" textlink="">
      <xdr:nvSpPr>
        <xdr:cNvPr id="7" name="Rechthoek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8562975" y="9639300"/>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Zoek je energielabel</a:t>
          </a:r>
        </a:p>
      </xdr:txBody>
    </xdr:sp>
    <xdr:clientData/>
  </xdr:twoCellAnchor>
  <xdr:twoCellAnchor>
    <xdr:from>
      <xdr:col>11</xdr:col>
      <xdr:colOff>552450</xdr:colOff>
      <xdr:row>6</xdr:row>
      <xdr:rowOff>2366283</xdr:rowOff>
    </xdr:from>
    <xdr:to>
      <xdr:col>13</xdr:col>
      <xdr:colOff>466724</xdr:colOff>
      <xdr:row>7</xdr:row>
      <xdr:rowOff>61233</xdr:rowOff>
    </xdr:to>
    <xdr:sp macro="" textlink="">
      <xdr:nvSpPr>
        <xdr:cNvPr id="6" name="Rechthoek 5">
          <a:hlinkClick xmlns:r="http://schemas.openxmlformats.org/officeDocument/2006/relationships" r:id="rId6"/>
          <a:extLst>
            <a:ext uri="{FF2B5EF4-FFF2-40B4-BE49-F238E27FC236}">
              <a16:creationId xmlns:a16="http://schemas.microsoft.com/office/drawing/2014/main" id="{00000000-0008-0000-0000-000006000000}"/>
            </a:ext>
          </a:extLst>
        </xdr:cNvPr>
        <xdr:cNvSpPr/>
      </xdr:nvSpPr>
      <xdr:spPr>
        <a:xfrm>
          <a:off x="8562975" y="4785633"/>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Naar contactformulier</a:t>
          </a:r>
          <a:r>
            <a:rPr lang="nl-NL" sz="1100" baseline="0"/>
            <a:t> energiecoach</a:t>
          </a:r>
        </a:p>
      </xdr:txBody>
    </xdr:sp>
    <xdr:clientData/>
  </xdr:twoCellAnchor>
  <xdr:twoCellAnchor>
    <xdr:from>
      <xdr:col>11</xdr:col>
      <xdr:colOff>561975</xdr:colOff>
      <xdr:row>26</xdr:row>
      <xdr:rowOff>276225</xdr:rowOff>
    </xdr:from>
    <xdr:to>
      <xdr:col>13</xdr:col>
      <xdr:colOff>476249</xdr:colOff>
      <xdr:row>28</xdr:row>
      <xdr:rowOff>95250</xdr:rowOff>
    </xdr:to>
    <xdr:sp macro="" textlink="">
      <xdr:nvSpPr>
        <xdr:cNvPr id="8" name="Rechthoek 7">
          <a:hlinkClick xmlns:r="http://schemas.openxmlformats.org/officeDocument/2006/relationships" r:id="rId7"/>
          <a:extLst>
            <a:ext uri="{FF2B5EF4-FFF2-40B4-BE49-F238E27FC236}">
              <a16:creationId xmlns:a16="http://schemas.microsoft.com/office/drawing/2014/main" id="{2B99BE83-C519-4076-9419-7C296BB7084D}"/>
            </a:ext>
          </a:extLst>
        </xdr:cNvPr>
        <xdr:cNvSpPr/>
      </xdr:nvSpPr>
      <xdr:spPr>
        <a:xfrm>
          <a:off x="8572500" y="9391650"/>
          <a:ext cx="1504949" cy="581025"/>
        </a:xfrm>
        <a:prstGeom prst="rect">
          <a:avLst/>
        </a:prstGeom>
        <a:solidFill>
          <a:srgbClr val="007A68"/>
        </a:solidFill>
        <a:ln w="19050">
          <a:solidFill>
            <a:srgbClr val="58A9AE"/>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Vindt je WOZ-waarde</a:t>
          </a:r>
        </a:p>
      </xdr:txBody>
    </xdr:sp>
    <xdr:clientData/>
  </xdr:twoCellAnchor>
  <mc:AlternateContent xmlns:mc="http://schemas.openxmlformats.org/markup-compatibility/2006">
    <mc:Choice xmlns:a14="http://schemas.microsoft.com/office/drawing/2010/main" Requires="a14">
      <xdr:twoCellAnchor editAs="oneCell">
        <xdr:from>
          <xdr:col>9</xdr:col>
          <xdr:colOff>9525</xdr:colOff>
          <xdr:row>26</xdr:row>
          <xdr:rowOff>9525</xdr:rowOff>
        </xdr:from>
        <xdr:to>
          <xdr:col>10</xdr:col>
          <xdr:colOff>0</xdr:colOff>
          <xdr:row>26</xdr:row>
          <xdr:rowOff>285750</xdr:rowOff>
        </xdr:to>
        <xdr:sp macro="" textlink="">
          <xdr:nvSpPr>
            <xdr:cNvPr id="1100" name="List Box 76" hidden="1">
              <a:extLst>
                <a:ext uri="{63B3BB69-23CF-44E3-9099-C40C66FF867C}">
                  <a14:compatExt spid="_x0000_s1100"/>
                </a:ext>
                <a:ext uri="{FF2B5EF4-FFF2-40B4-BE49-F238E27FC236}">
                  <a16:creationId xmlns:a16="http://schemas.microsoft.com/office/drawing/2014/main" id="{7D0CBE23-745A-CA27-B303-E4EC821C47B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A4B5-752E-410C-9C53-B86BD59AF2B4}">
  <dimension ref="A1:T77"/>
  <sheetViews>
    <sheetView tabSelected="1" zoomScaleNormal="100" workbookViewId="0">
      <selection activeCell="B7" sqref="B7:K7"/>
    </sheetView>
  </sheetViews>
  <sheetFormatPr defaultRowHeight="15" x14ac:dyDescent="0.25"/>
  <cols>
    <col min="1" max="8" width="9.140625" style="10"/>
    <col min="9" max="9" width="5.28515625" style="10" customWidth="1"/>
    <col min="10" max="10" width="17.7109375" style="10" customWidth="1"/>
    <col min="11" max="11" width="24" style="10" customWidth="1"/>
    <col min="12" max="12" width="9.140625" style="10"/>
    <col min="13" max="13" width="14.7109375" style="10" customWidth="1"/>
    <col min="14" max="14" width="9.140625" style="10"/>
    <col min="15" max="15" width="14.28515625" style="10" bestFit="1" customWidth="1"/>
    <col min="16" max="16" width="9.140625" style="10"/>
    <col min="17" max="17" width="16.28515625" style="10" customWidth="1"/>
    <col min="18" max="18" width="9.140625" style="10"/>
    <col min="19" max="19" width="16.140625" style="10" customWidth="1"/>
    <col min="20" max="16384" width="9.140625" style="10"/>
  </cols>
  <sheetData>
    <row r="1" spans="2:12" s="28" customFormat="1" x14ac:dyDescent="0.25"/>
    <row r="2" spans="2:12" s="28" customFormat="1" ht="78" customHeight="1" x14ac:dyDescent="0.25"/>
    <row r="3" spans="2:12" s="28" customFormat="1" ht="21" customHeight="1" x14ac:dyDescent="0.25"/>
    <row r="4" spans="2:12" ht="46.5" customHeight="1" x14ac:dyDescent="0.4">
      <c r="B4" s="24" t="s">
        <v>28</v>
      </c>
    </row>
    <row r="5" spans="2:12" x14ac:dyDescent="0.25">
      <c r="B5" s="10" t="s">
        <v>122</v>
      </c>
    </row>
    <row r="7" spans="2:12" ht="227.25" customHeight="1" x14ac:dyDescent="0.25">
      <c r="B7" s="29" t="s">
        <v>119</v>
      </c>
      <c r="C7" s="29"/>
      <c r="D7" s="29"/>
      <c r="E7" s="29"/>
      <c r="F7" s="29"/>
      <c r="G7" s="29"/>
      <c r="H7" s="29"/>
      <c r="I7" s="29"/>
      <c r="J7" s="29"/>
      <c r="K7" s="29"/>
    </row>
    <row r="9" spans="2:12" ht="30" customHeight="1" x14ac:dyDescent="0.35">
      <c r="B9" s="25" t="s">
        <v>101</v>
      </c>
    </row>
    <row r="11" spans="2:12" x14ac:dyDescent="0.25">
      <c r="B11" s="10" t="s">
        <v>102</v>
      </c>
      <c r="L11" s="11" t="str">
        <f>IFERROR(INDEX('Berekening voorwaarden'!E4:E5,MATCH('Berekening voorwaarden'!B5,'Berekening voorwaarden'!D4:D5,0)),"")</f>
        <v/>
      </c>
    </row>
    <row r="12" spans="2:12" ht="15" customHeight="1" x14ac:dyDescent="0.25">
      <c r="B12" s="30" t="s">
        <v>103</v>
      </c>
      <c r="C12" s="30"/>
      <c r="D12" s="30"/>
      <c r="E12" s="30"/>
      <c r="F12" s="30"/>
      <c r="G12" s="30"/>
      <c r="H12" s="30"/>
    </row>
    <row r="13" spans="2:12" x14ac:dyDescent="0.25">
      <c r="B13" s="30"/>
      <c r="C13" s="30"/>
      <c r="D13" s="30"/>
      <c r="E13" s="30"/>
      <c r="F13" s="30"/>
      <c r="G13" s="30"/>
      <c r="H13" s="30"/>
    </row>
    <row r="15" spans="2:12" x14ac:dyDescent="0.25">
      <c r="B15" s="10" t="s">
        <v>104</v>
      </c>
      <c r="J15" s="12"/>
      <c r="L15" s="11" t="str">
        <f>IFERROR(INDEX('Berekening voorwaarden'!E7:E8,MATCH('Berekening voorwaarden'!B8,'Berekening voorwaarden'!D7:D8,0)),"")</f>
        <v/>
      </c>
    </row>
    <row r="16" spans="2:12" ht="15" customHeight="1" x14ac:dyDescent="0.25">
      <c r="B16" s="30" t="s">
        <v>105</v>
      </c>
      <c r="C16" s="30"/>
      <c r="D16" s="30"/>
      <c r="E16" s="30"/>
      <c r="F16" s="30"/>
      <c r="G16" s="30"/>
      <c r="H16" s="30"/>
    </row>
    <row r="17" spans="1:12" x14ac:dyDescent="0.25">
      <c r="B17" s="30"/>
      <c r="C17" s="30"/>
      <c r="D17" s="30"/>
      <c r="E17" s="30"/>
      <c r="F17" s="30"/>
      <c r="G17" s="30"/>
      <c r="H17" s="30"/>
    </row>
    <row r="19" spans="1:12" x14ac:dyDescent="0.25">
      <c r="A19" s="13"/>
      <c r="B19" s="10" t="s">
        <v>106</v>
      </c>
      <c r="L19" s="11" t="str">
        <f>IFERROR(INDEX('Berekening voorwaarden'!E10:E11,MATCH('Berekening voorwaarden'!B11,'Berekening voorwaarden'!D10:D11,0)),"")</f>
        <v/>
      </c>
    </row>
    <row r="20" spans="1:12" ht="15" customHeight="1" x14ac:dyDescent="0.25">
      <c r="B20" s="30" t="s">
        <v>29</v>
      </c>
      <c r="C20" s="30"/>
      <c r="D20" s="30"/>
      <c r="E20" s="30"/>
      <c r="F20" s="30"/>
      <c r="G20" s="30"/>
      <c r="H20" s="30"/>
    </row>
    <row r="21" spans="1:12" x14ac:dyDescent="0.25">
      <c r="B21" s="30"/>
      <c r="C21" s="30"/>
      <c r="D21" s="30"/>
      <c r="E21" s="30"/>
      <c r="F21" s="30"/>
      <c r="G21" s="30"/>
      <c r="H21" s="30"/>
    </row>
    <row r="22" spans="1:12" x14ac:dyDescent="0.25">
      <c r="B22" s="14"/>
      <c r="C22" s="14"/>
      <c r="D22" s="14"/>
      <c r="E22" s="14"/>
      <c r="F22" s="14"/>
      <c r="G22" s="14"/>
      <c r="H22" s="14"/>
    </row>
    <row r="23" spans="1:12" x14ac:dyDescent="0.25">
      <c r="B23" s="10" t="s">
        <v>107</v>
      </c>
      <c r="J23" s="8"/>
      <c r="L23" s="11" t="str">
        <f>IF(J23="","",IFERROR(INDEX('Berekening voorwaarden'!E13:E14,MATCH('Berekening voorwaarden'!B14,'Berekening voorwaarden'!D13:D14,0)),""))</f>
        <v/>
      </c>
    </row>
    <row r="24" spans="1:12" x14ac:dyDescent="0.25">
      <c r="B24" s="30" t="s">
        <v>30</v>
      </c>
      <c r="C24" s="30"/>
      <c r="D24" s="30"/>
      <c r="E24" s="30"/>
      <c r="F24" s="30"/>
      <c r="G24" s="30"/>
      <c r="H24" s="30"/>
    </row>
    <row r="25" spans="1:12" x14ac:dyDescent="0.25">
      <c r="B25" s="30"/>
      <c r="C25" s="30"/>
      <c r="D25" s="30"/>
      <c r="E25" s="30"/>
      <c r="F25" s="30"/>
      <c r="G25" s="30"/>
      <c r="H25" s="30"/>
    </row>
    <row r="26" spans="1:12" x14ac:dyDescent="0.25">
      <c r="B26" s="14"/>
      <c r="C26" s="14"/>
      <c r="D26" s="14"/>
      <c r="E26" s="14"/>
      <c r="F26" s="14"/>
      <c r="G26" s="14"/>
      <c r="H26" s="14"/>
    </row>
    <row r="27" spans="1:12" ht="30" customHeight="1" x14ac:dyDescent="0.25">
      <c r="B27" s="29" t="s">
        <v>120</v>
      </c>
      <c r="C27" s="29"/>
      <c r="D27" s="29"/>
      <c r="E27" s="29"/>
      <c r="F27" s="29"/>
      <c r="G27" s="29"/>
      <c r="H27" s="29"/>
      <c r="J27" s="35"/>
      <c r="L27" s="36" t="str">
        <f>IFERROR(INDEX('Berekening voorwaarden'!E16:E17,MATCH('Berekening voorwaarden'!B17,'Berekening voorwaarden'!D16:D17,0)),"")</f>
        <v/>
      </c>
    </row>
    <row r="28" spans="1:12" ht="30" customHeight="1" x14ac:dyDescent="0.25">
      <c r="B28" s="30" t="s">
        <v>121</v>
      </c>
      <c r="C28" s="30"/>
      <c r="D28" s="30"/>
      <c r="E28" s="30"/>
      <c r="F28" s="30"/>
      <c r="G28" s="30"/>
      <c r="H28" s="30"/>
    </row>
    <row r="29" spans="1:12" x14ac:dyDescent="0.25">
      <c r="B29" s="30"/>
      <c r="C29" s="30"/>
      <c r="D29" s="30"/>
      <c r="E29" s="30"/>
      <c r="F29" s="30"/>
      <c r="G29" s="30"/>
      <c r="H29" s="30"/>
    </row>
    <row r="30" spans="1:12" x14ac:dyDescent="0.25">
      <c r="B30" s="14"/>
      <c r="C30" s="14"/>
      <c r="D30" s="14"/>
      <c r="E30" s="14"/>
      <c r="F30" s="14"/>
      <c r="G30" s="14"/>
      <c r="H30" s="14"/>
    </row>
    <row r="31" spans="1:12" x14ac:dyDescent="0.25">
      <c r="B31" s="10" t="s">
        <v>108</v>
      </c>
      <c r="L31" s="11" t="str">
        <f>IFERROR(INDEX('Berekening voorwaarden'!E19:E26,MATCH('Berekening voorwaarden'!B20,'Berekening voorwaarden'!D19:D26,0)),"")</f>
        <v/>
      </c>
    </row>
    <row r="32" spans="1:12" ht="15" customHeight="1" x14ac:dyDescent="0.25">
      <c r="B32" s="30" t="s">
        <v>109</v>
      </c>
      <c r="C32" s="30"/>
      <c r="D32" s="30"/>
      <c r="E32" s="30"/>
      <c r="F32" s="30"/>
      <c r="G32" s="30"/>
      <c r="H32" s="30"/>
    </row>
    <row r="33" spans="2:20" x14ac:dyDescent="0.25">
      <c r="B33" s="30"/>
      <c r="C33" s="30"/>
      <c r="D33" s="30"/>
      <c r="E33" s="30"/>
      <c r="F33" s="30"/>
      <c r="G33" s="30"/>
      <c r="H33" s="30"/>
    </row>
    <row r="34" spans="2:20" x14ac:dyDescent="0.25">
      <c r="B34" s="30"/>
      <c r="C34" s="30"/>
      <c r="D34" s="30"/>
      <c r="E34" s="30"/>
      <c r="F34" s="30"/>
      <c r="G34" s="30"/>
      <c r="H34" s="30"/>
    </row>
    <row r="35" spans="2:20" x14ac:dyDescent="0.25">
      <c r="B35" s="14"/>
      <c r="C35" s="14"/>
      <c r="D35" s="14"/>
      <c r="E35" s="14"/>
      <c r="F35" s="14"/>
      <c r="G35" s="14"/>
      <c r="H35" s="14"/>
    </row>
    <row r="36" spans="2:20" x14ac:dyDescent="0.25">
      <c r="B36" s="14"/>
      <c r="C36" s="14"/>
      <c r="D36" s="14"/>
      <c r="E36" s="14"/>
      <c r="F36" s="14"/>
      <c r="G36" s="14"/>
      <c r="H36" s="14"/>
    </row>
    <row r="37" spans="2:20" ht="90" customHeight="1" x14ac:dyDescent="0.25">
      <c r="B37" s="34" t="str">
        <f>INDEX('Berekening voorwaarden'!E28:E31,MATCH('Berekening voorwaarden'!B28,'Berekening voorwaarden'!D28:D31,0))</f>
        <v xml:space="preserve">Je voldoet niet aan de voorwaarden voor deze subsidie. </v>
      </c>
      <c r="C37" s="34"/>
      <c r="D37" s="34"/>
      <c r="E37" s="34"/>
      <c r="F37" s="34"/>
      <c r="G37" s="34"/>
      <c r="H37" s="34"/>
      <c r="I37" s="34"/>
      <c r="J37" s="34"/>
      <c r="K37" s="34"/>
      <c r="L37" s="34"/>
      <c r="M37" s="34"/>
      <c r="N37" s="34"/>
      <c r="O37" s="16"/>
      <c r="P37" s="16"/>
      <c r="Q37" s="16"/>
      <c r="R37" s="16"/>
    </row>
    <row r="38" spans="2:20" x14ac:dyDescent="0.25">
      <c r="B38" s="14"/>
      <c r="C38" s="14"/>
      <c r="D38" s="14"/>
      <c r="E38" s="14"/>
      <c r="F38" s="14"/>
      <c r="G38" s="14"/>
      <c r="H38" s="14"/>
    </row>
    <row r="39" spans="2:20" ht="30" customHeight="1" x14ac:dyDescent="0.35">
      <c r="B39" s="25" t="s">
        <v>110</v>
      </c>
    </row>
    <row r="40" spans="2:20" x14ac:dyDescent="0.25">
      <c r="B40" s="11" t="s">
        <v>89</v>
      </c>
    </row>
    <row r="41" spans="2:20" x14ac:dyDescent="0.25">
      <c r="B41" s="11" t="s">
        <v>111</v>
      </c>
    </row>
    <row r="42" spans="2:20" x14ac:dyDescent="0.25">
      <c r="B42" s="11" t="s">
        <v>112</v>
      </c>
    </row>
    <row r="44" spans="2:20" ht="32.25" customHeight="1" x14ac:dyDescent="0.25">
      <c r="K44" s="17" t="s">
        <v>24</v>
      </c>
      <c r="M44" s="18" t="s">
        <v>25</v>
      </c>
      <c r="O44" s="19" t="s">
        <v>26</v>
      </c>
      <c r="Q44" s="18" t="s">
        <v>27</v>
      </c>
      <c r="S44" s="18" t="s">
        <v>57</v>
      </c>
    </row>
    <row r="46" spans="2:20" x14ac:dyDescent="0.25">
      <c r="B46" s="10" t="s">
        <v>7</v>
      </c>
      <c r="K46" s="20" t="str">
        <f>""&amp;'Berekening subsidies'!D6&amp;"  -  "&amp;'Berekening subsidies'!E6&amp;""</f>
        <v xml:space="preserve">  -  </v>
      </c>
      <c r="M46" s="21">
        <f>'Berekening subsidies'!F6</f>
        <v>0</v>
      </c>
      <c r="O46" s="8"/>
      <c r="Q46" s="15">
        <f>IF('Berekening voorwaarden'!B28=4,0,IF(AND('Berekening subsidies'!C6&lt;&gt;1,O46&gt;='Berekening subsidies'!D6),MIN('Keuzeblad maatregelen'!O46,'Berekening subsidies'!E6),0))</f>
        <v>0</v>
      </c>
      <c r="S46" s="21">
        <f>'Berekening subsidies'!J6</f>
        <v>0</v>
      </c>
      <c r="T46" s="11"/>
    </row>
    <row r="47" spans="2:20" x14ac:dyDescent="0.25">
      <c r="K47" s="11" t="str">
        <f>IF('Berekening subsidies'!C6=1,"",IF('Keuzeblad maatregelen'!O46="",'Berekening subsidies'!$B$67,IF('Berekening subsidies'!G6&lt;'Berekening subsidies'!D6,'Berekening subsidies'!$B$68,"")))</f>
        <v/>
      </c>
      <c r="Q47" s="11" t="str">
        <f>IF('Berekening subsidies'!K6&lt;='Berekening subsidies'!J6,"",IF('Berekening subsidies'!$C$64=1,'Berekening subsidies'!$C$70,'Berekening subsidies'!$C$71))</f>
        <v/>
      </c>
    </row>
    <row r="49" spans="2:20" x14ac:dyDescent="0.25">
      <c r="B49" s="10" t="s">
        <v>8</v>
      </c>
      <c r="K49" s="20" t="str">
        <f>""&amp;'Berekening subsidies'!D12&amp;"  -  "&amp;'Berekening subsidies'!E12&amp;""</f>
        <v xml:space="preserve">  -  </v>
      </c>
      <c r="M49" s="21">
        <f>'Berekening subsidies'!F12</f>
        <v>0</v>
      </c>
      <c r="O49" s="8"/>
      <c r="Q49" s="15">
        <f>IF('Berekening voorwaarden'!B28=4,0,IF(AND('Berekening subsidies'!C12&lt;&gt;1,O49&gt;='Berekening subsidies'!D12),MIN('Keuzeblad maatregelen'!O49,'Berekening subsidies'!E12),0))</f>
        <v>0</v>
      </c>
      <c r="S49" s="21">
        <f>'Berekening subsidies'!J12</f>
        <v>0</v>
      </c>
    </row>
    <row r="50" spans="2:20" x14ac:dyDescent="0.25">
      <c r="K50" s="11" t="str">
        <f>IF('Berekening subsidies'!C12=1,"",IF('Keuzeblad maatregelen'!O49="",'Berekening subsidies'!$B$67,IF('Berekening subsidies'!G12&lt;'Berekening subsidies'!D12,'Berekening subsidies'!$B$68,"")))</f>
        <v/>
      </c>
      <c r="Q50" s="11" t="str">
        <f>IF('Berekening subsidies'!K12&lt;='Berekening subsidies'!J12,"",IF('Berekening subsidies'!$C$64=1,'Berekening subsidies'!$C$70,'Berekening subsidies'!$C$71))</f>
        <v/>
      </c>
    </row>
    <row r="52" spans="2:20" x14ac:dyDescent="0.25">
      <c r="B52" s="10" t="s">
        <v>9</v>
      </c>
      <c r="K52" s="20" t="str">
        <f>""&amp;'Berekening subsidies'!D18&amp;"  -  "&amp;'Berekening subsidies'!E18&amp;""</f>
        <v xml:space="preserve">  -  </v>
      </c>
      <c r="M52" s="21">
        <f>'Berekening subsidies'!F18</f>
        <v>0</v>
      </c>
      <c r="O52" s="8"/>
      <c r="Q52" s="15">
        <f>IF('Berekening voorwaarden'!B28=4,0,IF(AND('Berekening subsidies'!C18&lt;&gt;1,O52&gt;='Berekening subsidies'!D18),MIN('Keuzeblad maatregelen'!O52,'Berekening subsidies'!E18),0))</f>
        <v>0</v>
      </c>
      <c r="S52" s="21">
        <f>'Berekening subsidies'!J18</f>
        <v>0</v>
      </c>
    </row>
    <row r="53" spans="2:20" x14ac:dyDescent="0.25">
      <c r="K53" s="11" t="str">
        <f>IF('Berekening subsidies'!C18=1,"",IF('Keuzeblad maatregelen'!O52="",'Berekening subsidies'!$B$67,IF('Berekening subsidies'!G18&lt;'Berekening subsidies'!D18,'Berekening subsidies'!$B$68,"")))</f>
        <v/>
      </c>
      <c r="Q53" s="11" t="str">
        <f>IF('Berekening subsidies'!K18&lt;='Berekening subsidies'!J18,"",IF('Berekening subsidies'!$C$64=1,'Berekening subsidies'!$C$70,'Berekening subsidies'!$C$71))</f>
        <v/>
      </c>
    </row>
    <row r="55" spans="2:20" x14ac:dyDescent="0.25">
      <c r="B55" s="10" t="s">
        <v>10</v>
      </c>
      <c r="K55" s="20" t="str">
        <f>""&amp;'Berekening subsidies'!D25&amp;"  -  "&amp;'Berekening subsidies'!E25&amp;""</f>
        <v xml:space="preserve">  -  </v>
      </c>
      <c r="M55" s="21">
        <f>'Berekening subsidies'!F25</f>
        <v>0</v>
      </c>
      <c r="O55" s="8"/>
      <c r="Q55" s="15">
        <f>IF('Berekening voorwaarden'!B28=4,0,IF(AND('Berekening subsidies'!C25&lt;&gt;1,O55&gt;='Berekening subsidies'!D25),MIN('Keuzeblad maatregelen'!O55,'Berekening subsidies'!E25),0))</f>
        <v>0</v>
      </c>
      <c r="S55" s="21">
        <f>'Berekening subsidies'!J25</f>
        <v>0</v>
      </c>
    </row>
    <row r="56" spans="2:20" x14ac:dyDescent="0.25">
      <c r="K56" s="11" t="str">
        <f>IF('Berekening subsidies'!C25=1,"",IF('Keuzeblad maatregelen'!O55="",'Berekening subsidies'!$B$67,IF('Berekening subsidies'!G25&lt;'Berekening subsidies'!D25,'Berekening subsidies'!$B$68,"")))</f>
        <v/>
      </c>
      <c r="Q56" s="11" t="str">
        <f>IF('Berekening subsidies'!K25&lt;='Berekening subsidies'!J25,"",IF('Berekening subsidies'!$C$64=1,'Berekening subsidies'!$C$70,'Berekening subsidies'!$C$71))</f>
        <v/>
      </c>
    </row>
    <row r="58" spans="2:20" ht="45" customHeight="1" x14ac:dyDescent="0.25">
      <c r="K58" s="17" t="s">
        <v>90</v>
      </c>
      <c r="M58" s="18" t="s">
        <v>25</v>
      </c>
      <c r="O58" s="19" t="s">
        <v>26</v>
      </c>
      <c r="Q58" s="18" t="s">
        <v>27</v>
      </c>
      <c r="S58" s="18" t="s">
        <v>57</v>
      </c>
    </row>
    <row r="60" spans="2:20" x14ac:dyDescent="0.25">
      <c r="B60" s="10" t="s">
        <v>56</v>
      </c>
      <c r="K60" s="31" t="str">
        <f>""&amp;'Berekening subsidies'!D38&amp;"  -  "&amp;'Berekening subsidies'!E38&amp;""</f>
        <v xml:space="preserve">  -  </v>
      </c>
      <c r="M60" s="21">
        <f>'Berekening subsidies'!F31</f>
        <v>0</v>
      </c>
      <c r="O60" s="8"/>
      <c r="Q60" s="15">
        <f>IF('Berekening voorwaarden'!B28=4,0,IF(O60&lt;&gt;"",IF(AND('Berekening subsidies'!C31&lt;&gt;1,OR(O60&gt;='Berekening subsidies'!D31,'Berekening subsidies'!G38&gt;='Berekening subsidies'!D31)),MIN('Keuzeblad maatregelen'!O60,('Berekening subsidies'!E31-Q62)),0),0))</f>
        <v>0</v>
      </c>
      <c r="S60" s="21">
        <f>'Berekening subsidies'!J31</f>
        <v>0</v>
      </c>
      <c r="T60" s="11"/>
    </row>
    <row r="61" spans="2:20" x14ac:dyDescent="0.25">
      <c r="K61" s="32"/>
      <c r="T61" s="11"/>
    </row>
    <row r="62" spans="2:20" x14ac:dyDescent="0.25">
      <c r="K62" s="32"/>
      <c r="M62" s="21">
        <f>'Berekening subsidies'!F36</f>
        <v>0</v>
      </c>
      <c r="O62" s="8"/>
      <c r="Q62" s="15">
        <f>IF('Berekening voorwaarden'!B28=4,0,IF(O62&lt;&gt;"",IF(AND('Berekening subsidies'!C36&lt;&gt;1,OR(O62&gt;='Berekening subsidies'!D36,'Berekening subsidies'!G38&gt;='Berekening subsidies'!D36)),MIN('Keuzeblad maatregelen'!O62,'Berekening subsidies'!E36),0),0))</f>
        <v>0</v>
      </c>
      <c r="S62" s="21">
        <f>'Berekening subsidies'!J36</f>
        <v>0</v>
      </c>
    </row>
    <row r="63" spans="2:20" x14ac:dyDescent="0.25">
      <c r="K63" s="33"/>
      <c r="Q63" s="11" t="str">
        <f>IF('Berekening subsidies'!K38&lt;='Berekening subsidies'!J38,"",IF('Berekening subsidies'!$C$64=1,'Berekening subsidies'!$C$70,'Berekening subsidies'!$C$71))</f>
        <v/>
      </c>
    </row>
    <row r="64" spans="2:20" x14ac:dyDescent="0.25">
      <c r="K64" s="11" t="str">
        <f>IF('Berekening subsidies'!C38=1,"",IF(OR(AND('Keuzeblad maatregelen'!O60="",'Berekening subsidies'!C31=2)=TRUE,AND('Keuzeblad maatregelen'!O62="",'Berekening subsidies'!C36=2)=TRUE)=TRUE,'Berekening subsidies'!$B$67,IF('Berekening subsidies'!G38&lt;'Berekening subsidies'!D38,'Berekening subsidies'!$B$68,"")))</f>
        <v/>
      </c>
    </row>
    <row r="65" spans="2:19" ht="30" customHeight="1" x14ac:dyDescent="0.35">
      <c r="B65" s="25" t="s">
        <v>113</v>
      </c>
    </row>
    <row r="66" spans="2:19" ht="15" customHeight="1" x14ac:dyDescent="0.35">
      <c r="B66" s="22"/>
    </row>
    <row r="67" spans="2:19" ht="33" customHeight="1" x14ac:dyDescent="0.35">
      <c r="B67" s="22"/>
      <c r="K67" s="17" t="s">
        <v>75</v>
      </c>
      <c r="S67" s="18"/>
    </row>
    <row r="69" spans="2:19" x14ac:dyDescent="0.25">
      <c r="B69" s="10" t="s">
        <v>116</v>
      </c>
      <c r="K69" s="7"/>
      <c r="O69" s="10" t="s">
        <v>77</v>
      </c>
      <c r="S69" s="21">
        <f>'Berekening subsidies'!J44</f>
        <v>0</v>
      </c>
    </row>
    <row r="70" spans="2:19" x14ac:dyDescent="0.25">
      <c r="Q70" s="11" t="str">
        <f>IF('Berekening subsidies'!H44&gt;'Berekening subsidies'!I44,'Berekening subsidies'!$C$70,"")</f>
        <v/>
      </c>
    </row>
    <row r="72" spans="2:19" x14ac:dyDescent="0.25">
      <c r="B72" s="10" t="s">
        <v>114</v>
      </c>
      <c r="K72" s="7"/>
      <c r="O72" s="10" t="s">
        <v>78</v>
      </c>
      <c r="S72" s="21">
        <f>'Berekening subsidies'!J50</f>
        <v>0</v>
      </c>
    </row>
    <row r="73" spans="2:19" x14ac:dyDescent="0.25">
      <c r="Q73" s="11" t="str">
        <f>IF('Berekening subsidies'!H50&gt;'Berekening subsidies'!I50,'Berekening subsidies'!$C$70,"")</f>
        <v/>
      </c>
    </row>
    <row r="75" spans="2:19" ht="30" customHeight="1" x14ac:dyDescent="0.35">
      <c r="B75" s="25" t="s">
        <v>76</v>
      </c>
    </row>
    <row r="77" spans="2:19" ht="18.75" x14ac:dyDescent="0.3">
      <c r="O77" s="26" t="s">
        <v>115</v>
      </c>
      <c r="P77" s="23"/>
      <c r="Q77" s="23"/>
      <c r="R77" s="23"/>
      <c r="S77" s="27">
        <f>S46+S49+S52+S55+S60+S62+S69+S72</f>
        <v>0</v>
      </c>
    </row>
  </sheetData>
  <sheetProtection algorithmName="SHA-512" hashValue="qAar65/y/zYIdT2PQIMO9b1qKBt/zIFVpDXaGx5MVns8od84bhRlvNC3UpWCG14+NkKQoCFYpLGYJRAVkCW8qw==" saltValue="o4cCCU3KFzPZ1irFoa0TJA==" spinCount="100000" sheet="1" objects="1" scenarios="1"/>
  <protectedRanges>
    <protectedRange sqref="J23 J27 O46 O49 O52 O55 O60 O62 K69 K72" name="Invulvelden"/>
  </protectedRanges>
  <mergeCells count="11">
    <mergeCell ref="A1:XFD3"/>
    <mergeCell ref="B7:K7"/>
    <mergeCell ref="B20:H21"/>
    <mergeCell ref="K60:K63"/>
    <mergeCell ref="B16:H17"/>
    <mergeCell ref="B12:H13"/>
    <mergeCell ref="B24:H25"/>
    <mergeCell ref="B28:H29"/>
    <mergeCell ref="B32:H34"/>
    <mergeCell ref="B37:N37"/>
    <mergeCell ref="B27:H27"/>
  </mergeCell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List Box 4">
              <controlPr defaultSize="0" autoLine="0" autoPict="0">
                <anchor moveWithCells="1">
                  <from>
                    <xdr:col>4</xdr:col>
                    <xdr:colOff>9525</xdr:colOff>
                    <xdr:row>45</xdr:row>
                    <xdr:rowOff>0</xdr:rowOff>
                  </from>
                  <to>
                    <xdr:col>9</xdr:col>
                    <xdr:colOff>247650</xdr:colOff>
                    <xdr:row>47</xdr:row>
                    <xdr:rowOff>47625</xdr:rowOff>
                  </to>
                </anchor>
              </controlPr>
            </control>
          </mc:Choice>
        </mc:AlternateContent>
        <mc:AlternateContent xmlns:mc="http://schemas.openxmlformats.org/markup-compatibility/2006">
          <mc:Choice Requires="x14">
            <control shapeId="1029" r:id="rId5" name="List Box 5">
              <controlPr defaultSize="0" autoLine="0" autoPict="0">
                <anchor moveWithCells="1">
                  <from>
                    <xdr:col>4</xdr:col>
                    <xdr:colOff>9525</xdr:colOff>
                    <xdr:row>48</xdr:row>
                    <xdr:rowOff>0</xdr:rowOff>
                  </from>
                  <to>
                    <xdr:col>9</xdr:col>
                    <xdr:colOff>247650</xdr:colOff>
                    <xdr:row>49</xdr:row>
                    <xdr:rowOff>114300</xdr:rowOff>
                  </to>
                </anchor>
              </controlPr>
            </control>
          </mc:Choice>
        </mc:AlternateContent>
        <mc:AlternateContent xmlns:mc="http://schemas.openxmlformats.org/markup-compatibility/2006">
          <mc:Choice Requires="x14">
            <control shapeId="1030" r:id="rId6" name="List Box 6">
              <controlPr defaultSize="0" autoLine="0" autoPict="0">
                <anchor moveWithCells="1">
                  <from>
                    <xdr:col>4</xdr:col>
                    <xdr:colOff>9525</xdr:colOff>
                    <xdr:row>51</xdr:row>
                    <xdr:rowOff>0</xdr:rowOff>
                  </from>
                  <to>
                    <xdr:col>9</xdr:col>
                    <xdr:colOff>247650</xdr:colOff>
                    <xdr:row>52</xdr:row>
                    <xdr:rowOff>114300</xdr:rowOff>
                  </to>
                </anchor>
              </controlPr>
            </control>
          </mc:Choice>
        </mc:AlternateContent>
        <mc:AlternateContent xmlns:mc="http://schemas.openxmlformats.org/markup-compatibility/2006">
          <mc:Choice Requires="x14">
            <control shapeId="1031" r:id="rId7" name="List Box 7">
              <controlPr defaultSize="0" autoLine="0" autoPict="0">
                <anchor moveWithCells="1">
                  <from>
                    <xdr:col>4</xdr:col>
                    <xdr:colOff>9525</xdr:colOff>
                    <xdr:row>54</xdr:row>
                    <xdr:rowOff>0</xdr:rowOff>
                  </from>
                  <to>
                    <xdr:col>9</xdr:col>
                    <xdr:colOff>247650</xdr:colOff>
                    <xdr:row>56</xdr:row>
                    <xdr:rowOff>47625</xdr:rowOff>
                  </to>
                </anchor>
              </controlPr>
            </control>
          </mc:Choice>
        </mc:AlternateContent>
        <mc:AlternateContent xmlns:mc="http://schemas.openxmlformats.org/markup-compatibility/2006">
          <mc:Choice Requires="x14">
            <control shapeId="1034" r:id="rId8" name="List Box 10">
              <controlPr defaultSize="0" autoLine="0" autoPict="0">
                <anchor moveWithCells="1">
                  <from>
                    <xdr:col>9</xdr:col>
                    <xdr:colOff>9525</xdr:colOff>
                    <xdr:row>18</xdr:row>
                    <xdr:rowOff>9525</xdr:rowOff>
                  </from>
                  <to>
                    <xdr:col>9</xdr:col>
                    <xdr:colOff>1181100</xdr:colOff>
                    <xdr:row>19</xdr:row>
                    <xdr:rowOff>95250</xdr:rowOff>
                  </to>
                </anchor>
              </controlPr>
            </control>
          </mc:Choice>
        </mc:AlternateContent>
        <mc:AlternateContent xmlns:mc="http://schemas.openxmlformats.org/markup-compatibility/2006">
          <mc:Choice Requires="x14">
            <control shapeId="1035" r:id="rId9" name="List Box 11">
              <controlPr defaultSize="0" autoLine="0" autoPict="0">
                <anchor moveWithCells="1">
                  <from>
                    <xdr:col>9</xdr:col>
                    <xdr:colOff>9525</xdr:colOff>
                    <xdr:row>10</xdr:row>
                    <xdr:rowOff>9525</xdr:rowOff>
                  </from>
                  <to>
                    <xdr:col>10</xdr:col>
                    <xdr:colOff>0</xdr:colOff>
                    <xdr:row>11</xdr:row>
                    <xdr:rowOff>123825</xdr:rowOff>
                  </to>
                </anchor>
              </controlPr>
            </control>
          </mc:Choice>
        </mc:AlternateContent>
        <mc:AlternateContent xmlns:mc="http://schemas.openxmlformats.org/markup-compatibility/2006">
          <mc:Choice Requires="x14">
            <control shapeId="1036" r:id="rId10" name="List Box 12">
              <controlPr defaultSize="0" autoLine="0" autoPict="0">
                <anchor moveWithCells="1">
                  <from>
                    <xdr:col>9</xdr:col>
                    <xdr:colOff>9525</xdr:colOff>
                    <xdr:row>14</xdr:row>
                    <xdr:rowOff>9525</xdr:rowOff>
                  </from>
                  <to>
                    <xdr:col>10</xdr:col>
                    <xdr:colOff>0</xdr:colOff>
                    <xdr:row>15</xdr:row>
                    <xdr:rowOff>104775</xdr:rowOff>
                  </to>
                </anchor>
              </controlPr>
            </control>
          </mc:Choice>
        </mc:AlternateContent>
        <mc:AlternateContent xmlns:mc="http://schemas.openxmlformats.org/markup-compatibility/2006">
          <mc:Choice Requires="x14">
            <control shapeId="1037" r:id="rId11" name="List Box 13">
              <controlPr defaultSize="0" autoLine="0" autoPict="0">
                <anchor moveWithCells="1">
                  <from>
                    <xdr:col>9</xdr:col>
                    <xdr:colOff>9525</xdr:colOff>
                    <xdr:row>30</xdr:row>
                    <xdr:rowOff>9525</xdr:rowOff>
                  </from>
                  <to>
                    <xdr:col>10</xdr:col>
                    <xdr:colOff>0</xdr:colOff>
                    <xdr:row>35</xdr:row>
                    <xdr:rowOff>114300</xdr:rowOff>
                  </to>
                </anchor>
              </controlPr>
            </control>
          </mc:Choice>
        </mc:AlternateContent>
        <mc:AlternateContent xmlns:mc="http://schemas.openxmlformats.org/markup-compatibility/2006">
          <mc:Choice Requires="x14">
            <control shapeId="1038" r:id="rId12" name="List Box 14">
              <controlPr defaultSize="0" autoLine="0" autoPict="0">
                <anchor moveWithCells="1">
                  <from>
                    <xdr:col>4</xdr:col>
                    <xdr:colOff>9525</xdr:colOff>
                    <xdr:row>59</xdr:row>
                    <xdr:rowOff>0</xdr:rowOff>
                  </from>
                  <to>
                    <xdr:col>9</xdr:col>
                    <xdr:colOff>247650</xdr:colOff>
                    <xdr:row>60</xdr:row>
                    <xdr:rowOff>114300</xdr:rowOff>
                  </to>
                </anchor>
              </controlPr>
            </control>
          </mc:Choice>
        </mc:AlternateContent>
        <mc:AlternateContent xmlns:mc="http://schemas.openxmlformats.org/markup-compatibility/2006">
          <mc:Choice Requires="x14">
            <control shapeId="1096" r:id="rId13" name="List Box 72">
              <controlPr defaultSize="0" autoLine="0" autoPict="0">
                <anchor moveWithCells="1">
                  <from>
                    <xdr:col>7</xdr:col>
                    <xdr:colOff>0</xdr:colOff>
                    <xdr:row>68</xdr:row>
                    <xdr:rowOff>0</xdr:rowOff>
                  </from>
                  <to>
                    <xdr:col>9</xdr:col>
                    <xdr:colOff>209550</xdr:colOff>
                    <xdr:row>69</xdr:row>
                    <xdr:rowOff>114300</xdr:rowOff>
                  </to>
                </anchor>
              </controlPr>
            </control>
          </mc:Choice>
        </mc:AlternateContent>
        <mc:AlternateContent xmlns:mc="http://schemas.openxmlformats.org/markup-compatibility/2006">
          <mc:Choice Requires="x14">
            <control shapeId="1097" r:id="rId14" name="List Box 73">
              <controlPr defaultSize="0" autoLine="0" autoPict="0">
                <anchor moveWithCells="1">
                  <from>
                    <xdr:col>7</xdr:col>
                    <xdr:colOff>0</xdr:colOff>
                    <xdr:row>71</xdr:row>
                    <xdr:rowOff>0</xdr:rowOff>
                  </from>
                  <to>
                    <xdr:col>9</xdr:col>
                    <xdr:colOff>209550</xdr:colOff>
                    <xdr:row>72</xdr:row>
                    <xdr:rowOff>114300</xdr:rowOff>
                  </to>
                </anchor>
              </controlPr>
            </control>
          </mc:Choice>
        </mc:AlternateContent>
        <mc:AlternateContent xmlns:mc="http://schemas.openxmlformats.org/markup-compatibility/2006">
          <mc:Choice Requires="x14">
            <control shapeId="1098" r:id="rId15" name="List Box 74">
              <controlPr defaultSize="0" autoLine="0" autoPict="0">
                <anchor moveWithCells="1">
                  <from>
                    <xdr:col>4</xdr:col>
                    <xdr:colOff>9525</xdr:colOff>
                    <xdr:row>61</xdr:row>
                    <xdr:rowOff>76200</xdr:rowOff>
                  </from>
                  <to>
                    <xdr:col>9</xdr:col>
                    <xdr:colOff>247650</xdr:colOff>
                    <xdr:row>63</xdr:row>
                    <xdr:rowOff>0</xdr:rowOff>
                  </to>
                </anchor>
              </controlPr>
            </control>
          </mc:Choice>
        </mc:AlternateContent>
        <mc:AlternateContent xmlns:mc="http://schemas.openxmlformats.org/markup-compatibility/2006">
          <mc:Choice Requires="x14">
            <control shapeId="1100" r:id="rId16" name="List Box 76">
              <controlPr defaultSize="0" autoLine="0" autoPict="0">
                <anchor moveWithCells="1">
                  <from>
                    <xdr:col>9</xdr:col>
                    <xdr:colOff>9525</xdr:colOff>
                    <xdr:row>26</xdr:row>
                    <xdr:rowOff>9525</xdr:rowOff>
                  </from>
                  <to>
                    <xdr:col>10</xdr:col>
                    <xdr:colOff>0</xdr:colOff>
                    <xdr:row>26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A6C0-3F6C-4609-9342-88F49A15DA77}">
  <dimension ref="B1:K71"/>
  <sheetViews>
    <sheetView workbookViewId="0">
      <selection activeCell="C6" sqref="C6"/>
    </sheetView>
  </sheetViews>
  <sheetFormatPr defaultRowHeight="15" x14ac:dyDescent="0.25"/>
  <cols>
    <col min="2" max="2" width="23.85546875" bestFit="1" customWidth="1"/>
    <col min="6" max="6" width="11.42578125" bestFit="1" customWidth="1"/>
    <col min="7" max="7" width="14" customWidth="1"/>
    <col min="8" max="8" width="17.140625" customWidth="1"/>
    <col min="9" max="9" width="12.5703125" bestFit="1" customWidth="1"/>
    <col min="10" max="10" width="22.42578125" bestFit="1" customWidth="1"/>
    <col min="11" max="11" width="25" bestFit="1" customWidth="1"/>
  </cols>
  <sheetData>
    <row r="1" spans="2:11" x14ac:dyDescent="0.25">
      <c r="B1" s="1" t="s">
        <v>1</v>
      </c>
      <c r="C1" t="s">
        <v>2</v>
      </c>
      <c r="D1" t="s">
        <v>4</v>
      </c>
      <c r="E1" t="s">
        <v>5</v>
      </c>
      <c r="F1" t="s">
        <v>6</v>
      </c>
      <c r="G1" t="s">
        <v>58</v>
      </c>
      <c r="H1" t="s">
        <v>59</v>
      </c>
      <c r="I1" t="s">
        <v>72</v>
      </c>
      <c r="J1" t="s">
        <v>84</v>
      </c>
      <c r="K1" t="s">
        <v>85</v>
      </c>
    </row>
    <row r="2" spans="2:11" x14ac:dyDescent="0.25">
      <c r="B2" s="1" t="s">
        <v>0</v>
      </c>
      <c r="C2">
        <v>1</v>
      </c>
      <c r="D2" t="str">
        <f>""</f>
        <v/>
      </c>
      <c r="E2" t="str">
        <f>""</f>
        <v/>
      </c>
    </row>
    <row r="3" spans="2:11" x14ac:dyDescent="0.25">
      <c r="B3" s="1" t="s">
        <v>11</v>
      </c>
      <c r="C3">
        <v>2</v>
      </c>
      <c r="D3">
        <v>20</v>
      </c>
      <c r="E3">
        <v>200</v>
      </c>
      <c r="F3" s="2">
        <f>15*C64</f>
        <v>15</v>
      </c>
    </row>
    <row r="4" spans="2:11" x14ac:dyDescent="0.25">
      <c r="B4" s="1" t="s">
        <v>12</v>
      </c>
      <c r="C4">
        <v>3</v>
      </c>
      <c r="D4">
        <v>20</v>
      </c>
      <c r="E4">
        <v>130</v>
      </c>
      <c r="F4" s="2">
        <f>4*C64</f>
        <v>4</v>
      </c>
    </row>
    <row r="5" spans="2:11" x14ac:dyDescent="0.25">
      <c r="B5" s="1"/>
    </row>
    <row r="6" spans="2:11" x14ac:dyDescent="0.25">
      <c r="B6" s="1" t="s">
        <v>3</v>
      </c>
      <c r="C6">
        <v>1</v>
      </c>
      <c r="D6" t="str">
        <f>INDEX(D2:D4,MATCH($C$6,$C$2:$C$4,0))</f>
        <v/>
      </c>
      <c r="E6" t="str">
        <f t="shared" ref="E6:F6" si="0">INDEX(E2:E4,MATCH($C$6,$C$2:$C$4,0))</f>
        <v/>
      </c>
      <c r="F6" s="2">
        <f t="shared" si="0"/>
        <v>0</v>
      </c>
      <c r="G6">
        <f>'Keuzeblad maatregelen'!O46</f>
        <v>0</v>
      </c>
      <c r="H6">
        <f>'Keuzeblad maatregelen'!Q46</f>
        <v>0</v>
      </c>
      <c r="I6" s="2">
        <f>750*$C$64</f>
        <v>750</v>
      </c>
      <c r="J6" s="2">
        <f>MIN(I6,(H6*F6))</f>
        <v>0</v>
      </c>
      <c r="K6" s="3">
        <f>H6*F6</f>
        <v>0</v>
      </c>
    </row>
    <row r="7" spans="2:11" x14ac:dyDescent="0.25">
      <c r="B7" s="1"/>
    </row>
    <row r="8" spans="2:11" x14ac:dyDescent="0.25">
      <c r="B8" s="1" t="s">
        <v>13</v>
      </c>
    </row>
    <row r="9" spans="2:11" x14ac:dyDescent="0.25">
      <c r="B9" s="1" t="s">
        <v>14</v>
      </c>
      <c r="C9">
        <v>1</v>
      </c>
      <c r="D9" t="str">
        <f>""</f>
        <v/>
      </c>
      <c r="E9" t="str">
        <f>""</f>
        <v/>
      </c>
    </row>
    <row r="10" spans="2:11" x14ac:dyDescent="0.25">
      <c r="B10" s="1" t="s">
        <v>15</v>
      </c>
      <c r="C10">
        <v>2</v>
      </c>
      <c r="D10">
        <v>10</v>
      </c>
      <c r="E10">
        <v>170</v>
      </c>
      <c r="F10" s="2">
        <f>19*C64</f>
        <v>19</v>
      </c>
    </row>
    <row r="11" spans="2:11" x14ac:dyDescent="0.25">
      <c r="B11" s="1"/>
    </row>
    <row r="12" spans="2:11" x14ac:dyDescent="0.25">
      <c r="B12" s="1" t="s">
        <v>3</v>
      </c>
      <c r="C12">
        <v>1</v>
      </c>
      <c r="D12" t="str">
        <f>INDEX(D9:D10,MATCH($C$12,$C$9:$C$10,0))</f>
        <v/>
      </c>
      <c r="E12" t="str">
        <f t="shared" ref="E12" si="1">INDEX(E9:E10,MATCH($C$12,$C$9:$C$10,0))</f>
        <v/>
      </c>
      <c r="F12" s="2">
        <f>INDEX(F9:F10,MATCH($C$12,$C$9:$C$10,0))</f>
        <v>0</v>
      </c>
      <c r="G12">
        <f>'Keuzeblad maatregelen'!O49</f>
        <v>0</v>
      </c>
      <c r="H12">
        <f>'Keuzeblad maatregelen'!Q49</f>
        <v>0</v>
      </c>
      <c r="I12" s="2">
        <f>750*$C$64</f>
        <v>750</v>
      </c>
      <c r="J12" s="2">
        <f>MIN(I12,(H12*F12))</f>
        <v>0</v>
      </c>
      <c r="K12" s="3">
        <f>H12*F12</f>
        <v>0</v>
      </c>
    </row>
    <row r="13" spans="2:11" x14ac:dyDescent="0.25">
      <c r="B13" s="1"/>
    </row>
    <row r="14" spans="2:11" x14ac:dyDescent="0.25">
      <c r="B14" s="1" t="s">
        <v>16</v>
      </c>
    </row>
    <row r="15" spans="2:11" x14ac:dyDescent="0.25">
      <c r="B15" s="1" t="s">
        <v>17</v>
      </c>
      <c r="C15">
        <v>1</v>
      </c>
      <c r="D15" t="str">
        <f>""</f>
        <v/>
      </c>
      <c r="E15" t="str">
        <f>""</f>
        <v/>
      </c>
    </row>
    <row r="16" spans="2:11" x14ac:dyDescent="0.25">
      <c r="B16" s="1" t="s">
        <v>18</v>
      </c>
      <c r="C16">
        <v>2</v>
      </c>
      <c r="D16">
        <v>10</v>
      </c>
      <c r="E16">
        <v>170</v>
      </c>
      <c r="F16" s="2">
        <f>4*C64</f>
        <v>4</v>
      </c>
    </row>
    <row r="17" spans="2:11" x14ac:dyDescent="0.25">
      <c r="B17" s="1"/>
    </row>
    <row r="18" spans="2:11" x14ac:dyDescent="0.25">
      <c r="B18" s="1" t="s">
        <v>3</v>
      </c>
      <c r="C18">
        <v>1</v>
      </c>
      <c r="D18" t="str">
        <f>INDEX(D15:D16,MATCH($C$18,$C$15:$C$16,0))</f>
        <v/>
      </c>
      <c r="E18" t="str">
        <f t="shared" ref="E18" si="2">INDEX(E15:E16,MATCH($C$18,$C$15:$C$16,0))</f>
        <v/>
      </c>
      <c r="F18" s="2">
        <f>INDEX(F15:F16,MATCH($C$18,$C$15:$C$16,0))</f>
        <v>0</v>
      </c>
      <c r="G18">
        <f>'Keuzeblad maatregelen'!O52</f>
        <v>0</v>
      </c>
      <c r="H18">
        <f>'Keuzeblad maatregelen'!Q52</f>
        <v>0</v>
      </c>
      <c r="I18" s="2">
        <f>750*$C$64</f>
        <v>750</v>
      </c>
      <c r="J18" s="2">
        <f>MIN(I18,(H18*F18))</f>
        <v>0</v>
      </c>
      <c r="K18" s="3">
        <f>H18*F18</f>
        <v>0</v>
      </c>
    </row>
    <row r="19" spans="2:11" x14ac:dyDescent="0.25">
      <c r="B19" s="1"/>
    </row>
    <row r="20" spans="2:11" x14ac:dyDescent="0.25">
      <c r="B20" s="1" t="s">
        <v>19</v>
      </c>
    </row>
    <row r="21" spans="2:11" x14ac:dyDescent="0.25">
      <c r="B21" s="1" t="s">
        <v>20</v>
      </c>
      <c r="C21">
        <v>1</v>
      </c>
      <c r="D21" t="str">
        <f>""</f>
        <v/>
      </c>
      <c r="E21" t="str">
        <f>""</f>
        <v/>
      </c>
    </row>
    <row r="22" spans="2:11" x14ac:dyDescent="0.25">
      <c r="B22" s="1" t="s">
        <v>21</v>
      </c>
      <c r="C22">
        <v>2</v>
      </c>
      <c r="D22">
        <v>20</v>
      </c>
      <c r="E22">
        <v>130</v>
      </c>
      <c r="F22" s="2">
        <f>5.5*C64</f>
        <v>5.5</v>
      </c>
    </row>
    <row r="23" spans="2:11" x14ac:dyDescent="0.25">
      <c r="B23" s="1" t="s">
        <v>22</v>
      </c>
      <c r="C23">
        <v>3</v>
      </c>
      <c r="D23">
        <v>20</v>
      </c>
      <c r="E23">
        <v>130</v>
      </c>
      <c r="F23" s="2">
        <f>3*C64</f>
        <v>3</v>
      </c>
    </row>
    <row r="24" spans="2:11" x14ac:dyDescent="0.25">
      <c r="B24" s="1"/>
    </row>
    <row r="25" spans="2:11" x14ac:dyDescent="0.25">
      <c r="B25" s="1" t="s">
        <v>3</v>
      </c>
      <c r="C25">
        <v>1</v>
      </c>
      <c r="D25" t="str">
        <f>INDEX(D21:D23,MATCH($C$25,$C$21:$C$23,0))</f>
        <v/>
      </c>
      <c r="E25" t="str">
        <f t="shared" ref="E25" si="3">INDEX(E21:E23,MATCH($C$25,$C$21:$C$23,0))</f>
        <v/>
      </c>
      <c r="F25" s="2">
        <f>INDEX(F21:F23,MATCH($C$25,$C$21:$C$23,0))</f>
        <v>0</v>
      </c>
      <c r="G25">
        <f>'Keuzeblad maatregelen'!O55</f>
        <v>0</v>
      </c>
      <c r="H25">
        <f>'Keuzeblad maatregelen'!Q55</f>
        <v>0</v>
      </c>
      <c r="I25" s="2">
        <f>750*$C$64</f>
        <v>750</v>
      </c>
      <c r="J25" s="2">
        <f>MIN(I25,(H25*F25))</f>
        <v>0</v>
      </c>
      <c r="K25" s="3">
        <f>H25*F25</f>
        <v>0</v>
      </c>
    </row>
    <row r="26" spans="2:11" x14ac:dyDescent="0.25">
      <c r="B26" s="1"/>
    </row>
    <row r="27" spans="2:11" x14ac:dyDescent="0.25">
      <c r="B27" s="1" t="s">
        <v>23</v>
      </c>
    </row>
    <row r="28" spans="2:11" x14ac:dyDescent="0.25">
      <c r="B28" s="1" t="s">
        <v>79</v>
      </c>
      <c r="C28">
        <v>1</v>
      </c>
      <c r="D28" t="str">
        <f>""</f>
        <v/>
      </c>
      <c r="E28" t="str">
        <f>""</f>
        <v/>
      </c>
      <c r="F28" s="2"/>
    </row>
    <row r="29" spans="2:11" x14ac:dyDescent="0.25">
      <c r="B29" s="1" t="s">
        <v>80</v>
      </c>
      <c r="C29">
        <v>2</v>
      </c>
      <c r="D29">
        <v>8</v>
      </c>
      <c r="E29">
        <v>45</v>
      </c>
      <c r="F29" s="2">
        <f>11.5*C64</f>
        <v>11.5</v>
      </c>
    </row>
    <row r="30" spans="2:11" x14ac:dyDescent="0.25">
      <c r="B30" s="1"/>
      <c r="F30" s="5"/>
    </row>
    <row r="31" spans="2:11" x14ac:dyDescent="0.25">
      <c r="B31" s="1" t="s">
        <v>3</v>
      </c>
      <c r="C31">
        <v>1</v>
      </c>
      <c r="D31" t="str">
        <f>INDEX(D28:D29,MATCH($C$31,$C$28:$C$29,0))</f>
        <v/>
      </c>
      <c r="E31" t="str">
        <f t="shared" ref="E31" si="4">INDEX(E28:E29,MATCH($C$31,$C$28:$C$29,0))</f>
        <v/>
      </c>
      <c r="F31" s="2">
        <f>INDEX(F28:F29,MATCH($C$31,$C$28:$C$29,0))</f>
        <v>0</v>
      </c>
      <c r="G31">
        <f>'Keuzeblad maatregelen'!O60</f>
        <v>0</v>
      </c>
      <c r="H31">
        <f>'Keuzeblad maatregelen'!Q60</f>
        <v>0</v>
      </c>
      <c r="I31" s="2">
        <f>750*$C$64</f>
        <v>750</v>
      </c>
      <c r="J31" s="2">
        <f>MIN(I31,(H31*F31),(I31-J36))</f>
        <v>0</v>
      </c>
      <c r="K31" s="3">
        <f>H31*F31</f>
        <v>0</v>
      </c>
    </row>
    <row r="32" spans="2:11" x14ac:dyDescent="0.25">
      <c r="B32" s="1"/>
      <c r="F32" s="2"/>
      <c r="I32" s="2"/>
      <c r="J32" s="2"/>
    </row>
    <row r="33" spans="2:11" x14ac:dyDescent="0.25">
      <c r="B33" s="1" t="s">
        <v>82</v>
      </c>
      <c r="C33">
        <v>1</v>
      </c>
      <c r="F33" s="2"/>
      <c r="I33" s="2"/>
      <c r="J33" s="2"/>
    </row>
    <row r="34" spans="2:11" x14ac:dyDescent="0.25">
      <c r="B34" s="1" t="s">
        <v>81</v>
      </c>
      <c r="C34">
        <v>2</v>
      </c>
      <c r="D34">
        <v>8</v>
      </c>
      <c r="E34">
        <v>45</v>
      </c>
      <c r="F34" s="2">
        <f>32.75*C64</f>
        <v>32.75</v>
      </c>
      <c r="I34" s="2"/>
      <c r="J34" s="2"/>
    </row>
    <row r="35" spans="2:11" x14ac:dyDescent="0.25">
      <c r="B35" s="1"/>
      <c r="F35" s="2"/>
      <c r="I35" s="2"/>
      <c r="J35" s="2"/>
    </row>
    <row r="36" spans="2:11" x14ac:dyDescent="0.25">
      <c r="B36" s="1" t="s">
        <v>3</v>
      </c>
      <c r="C36">
        <v>1</v>
      </c>
      <c r="D36">
        <f>INDEX(D33:D34,MATCH($C$36,$C$33:$C$34,0))</f>
        <v>0</v>
      </c>
      <c r="E36">
        <f>INDEX(E33:E34,MATCH($C$36,$C$33:$C$34,0))</f>
        <v>0</v>
      </c>
      <c r="F36" s="2">
        <f>INDEX(F33:F34,MATCH($C$36,$C$33:$C$34,0))</f>
        <v>0</v>
      </c>
      <c r="G36">
        <f>'Keuzeblad maatregelen'!O62</f>
        <v>0</v>
      </c>
      <c r="H36">
        <f>'Keuzeblad maatregelen'!Q62</f>
        <v>0</v>
      </c>
      <c r="I36" s="2">
        <f>750*$C$64</f>
        <v>750</v>
      </c>
      <c r="J36" s="2">
        <f>MIN(I36,(H36*F36))</f>
        <v>0</v>
      </c>
      <c r="K36" s="3">
        <f>H36*F36</f>
        <v>0</v>
      </c>
    </row>
    <row r="37" spans="2:11" x14ac:dyDescent="0.25">
      <c r="B37" s="1"/>
      <c r="F37" s="2"/>
      <c r="I37" s="2"/>
      <c r="J37" s="2"/>
    </row>
    <row r="38" spans="2:11" x14ac:dyDescent="0.25">
      <c r="B38" s="1" t="s">
        <v>83</v>
      </c>
      <c r="C38">
        <f>MAX(C31,C36)</f>
        <v>1</v>
      </c>
      <c r="D38" t="str">
        <f>IF(OR(D31=8,D36=8),8,"")</f>
        <v/>
      </c>
      <c r="E38" t="str">
        <f>IF(OR(E31=45,E36=45),45,"")</f>
        <v/>
      </c>
      <c r="F38" s="2"/>
      <c r="G38">
        <f>IF(C36=1,0,G36)+IF(C31=1,0,G31)</f>
        <v>0</v>
      </c>
      <c r="H38">
        <f>'Keuzeblad maatregelen'!Q60+'Keuzeblad maatregelen'!Q62</f>
        <v>0</v>
      </c>
      <c r="J38" s="2">
        <f>J36+J31</f>
        <v>0</v>
      </c>
      <c r="K38" s="3">
        <f>K36+K31</f>
        <v>0</v>
      </c>
    </row>
    <row r="39" spans="2:11" x14ac:dyDescent="0.25">
      <c r="B39" s="1"/>
    </row>
    <row r="40" spans="2:11" x14ac:dyDescent="0.25">
      <c r="B40" s="1" t="s">
        <v>65</v>
      </c>
    </row>
    <row r="41" spans="2:11" x14ac:dyDescent="0.25">
      <c r="B41" s="1" t="s">
        <v>34</v>
      </c>
      <c r="C41">
        <v>1</v>
      </c>
    </row>
    <row r="42" spans="2:11" x14ac:dyDescent="0.25">
      <c r="B42" s="1" t="s">
        <v>33</v>
      </c>
      <c r="C42">
        <v>2</v>
      </c>
    </row>
    <row r="43" spans="2:11" x14ac:dyDescent="0.25">
      <c r="B43" s="1"/>
    </row>
    <row r="44" spans="2:11" x14ac:dyDescent="0.25">
      <c r="B44" s="1" t="s">
        <v>3</v>
      </c>
      <c r="C44">
        <v>1</v>
      </c>
      <c r="F44" s="3">
        <f>'Keuzeblad maatregelen'!K69</f>
        <v>0</v>
      </c>
      <c r="G44" s="3">
        <f>IF(C44=2,F44,0)</f>
        <v>0</v>
      </c>
      <c r="H44" s="3">
        <f>IF('Berekening voorwaarden'!B28=4,0,0.15*G44)</f>
        <v>0</v>
      </c>
      <c r="I44" s="2">
        <v>750</v>
      </c>
      <c r="J44" s="2">
        <f>MIN(I44,H44)</f>
        <v>0</v>
      </c>
    </row>
    <row r="45" spans="2:11" x14ac:dyDescent="0.25">
      <c r="B45" s="1"/>
    </row>
    <row r="46" spans="2:11" x14ac:dyDescent="0.25">
      <c r="B46" s="1" t="s">
        <v>66</v>
      </c>
    </row>
    <row r="47" spans="2:11" x14ac:dyDescent="0.25">
      <c r="B47" s="1" t="s">
        <v>34</v>
      </c>
      <c r="C47">
        <v>1</v>
      </c>
    </row>
    <row r="48" spans="2:11" x14ac:dyDescent="0.25">
      <c r="B48" s="1" t="s">
        <v>33</v>
      </c>
      <c r="C48">
        <v>2</v>
      </c>
    </row>
    <row r="49" spans="2:10" x14ac:dyDescent="0.25">
      <c r="B49" s="1"/>
    </row>
    <row r="50" spans="2:10" x14ac:dyDescent="0.25">
      <c r="B50" s="1" t="s">
        <v>3</v>
      </c>
      <c r="C50">
        <v>1</v>
      </c>
      <c r="F50" s="3">
        <f>'Keuzeblad maatregelen'!K72</f>
        <v>0</v>
      </c>
      <c r="G50" s="3">
        <f>IF(C50=2,F50,0)</f>
        <v>0</v>
      </c>
      <c r="H50" s="3">
        <f>IF('Berekening voorwaarden'!B28=4,0,0.15*G50)</f>
        <v>0</v>
      </c>
      <c r="I50" s="2">
        <v>750</v>
      </c>
      <c r="J50" s="2">
        <f>MIN(I50,H50)</f>
        <v>0</v>
      </c>
    </row>
    <row r="51" spans="2:10" x14ac:dyDescent="0.25">
      <c r="B51" s="1"/>
    </row>
    <row r="53" spans="2:10" x14ac:dyDescent="0.25">
      <c r="B53" t="s">
        <v>60</v>
      </c>
      <c r="C53">
        <f>C6</f>
        <v>1</v>
      </c>
      <c r="D53">
        <f>H6</f>
        <v>0</v>
      </c>
      <c r="E53">
        <f>IF(AND(C53&lt;&gt;1,D53&lt;&gt;0),1,0)</f>
        <v>0</v>
      </c>
    </row>
    <row r="54" spans="2:10" x14ac:dyDescent="0.25">
      <c r="B54" t="s">
        <v>61</v>
      </c>
      <c r="C54">
        <f>C12</f>
        <v>1</v>
      </c>
      <c r="D54">
        <f>H12</f>
        <v>0</v>
      </c>
      <c r="E54">
        <f t="shared" ref="E54:E56" si="5">IF(AND(C54&lt;&gt;1,D54&lt;&gt;0),1,0)</f>
        <v>0</v>
      </c>
    </row>
    <row r="55" spans="2:10" x14ac:dyDescent="0.25">
      <c r="B55" t="s">
        <v>62</v>
      </c>
      <c r="C55">
        <f>C18</f>
        <v>1</v>
      </c>
      <c r="D55">
        <f>H18</f>
        <v>0</v>
      </c>
      <c r="E55">
        <f t="shared" si="5"/>
        <v>0</v>
      </c>
    </row>
    <row r="56" spans="2:10" x14ac:dyDescent="0.25">
      <c r="B56" t="s">
        <v>63</v>
      </c>
      <c r="C56">
        <f>C25</f>
        <v>1</v>
      </c>
      <c r="D56">
        <f>H25</f>
        <v>0</v>
      </c>
      <c r="E56">
        <f t="shared" si="5"/>
        <v>0</v>
      </c>
    </row>
    <row r="57" spans="2:10" x14ac:dyDescent="0.25">
      <c r="B57" t="s">
        <v>64</v>
      </c>
      <c r="C57">
        <f>C38</f>
        <v>1</v>
      </c>
      <c r="D57">
        <f>H38</f>
        <v>0</v>
      </c>
      <c r="E57">
        <f>IF(AND(C57&lt;&gt;1,D57&lt;&gt;0),1,0)</f>
        <v>0</v>
      </c>
    </row>
    <row r="58" spans="2:10" x14ac:dyDescent="0.25">
      <c r="B58" t="s">
        <v>67</v>
      </c>
      <c r="C58">
        <f>C44</f>
        <v>1</v>
      </c>
      <c r="E58">
        <f>IF(C58=2,1,0)</f>
        <v>0</v>
      </c>
    </row>
    <row r="59" spans="2:10" x14ac:dyDescent="0.25">
      <c r="B59" s="6" t="s">
        <v>68</v>
      </c>
      <c r="C59" s="6">
        <f>C50</f>
        <v>1</v>
      </c>
      <c r="D59" s="6"/>
      <c r="E59">
        <f>IF(C59=2,1,0)</f>
        <v>0</v>
      </c>
      <c r="F59" s="6"/>
      <c r="G59" s="6"/>
    </row>
    <row r="60" spans="2:10" x14ac:dyDescent="0.25">
      <c r="B60" t="s">
        <v>73</v>
      </c>
      <c r="C60">
        <f>SUM(E53:E57)</f>
        <v>0</v>
      </c>
    </row>
    <row r="61" spans="2:10" x14ac:dyDescent="0.25">
      <c r="B61" t="s">
        <v>74</v>
      </c>
      <c r="C61">
        <v>1</v>
      </c>
    </row>
    <row r="62" spans="2:10" x14ac:dyDescent="0.25">
      <c r="B62" t="s">
        <v>69</v>
      </c>
      <c r="C62" t="str">
        <f>IF(C60&gt;0,"ja","nee")</f>
        <v>nee</v>
      </c>
    </row>
    <row r="63" spans="2:10" x14ac:dyDescent="0.25">
      <c r="B63" t="s">
        <v>70</v>
      </c>
      <c r="C63" t="str">
        <f>IF('Berekening voorwaarden'!B28=3,"ja",IF(AND('Berekening voorwaarden'!B28=2,C60&gt;1)=TRUE,"ja","nee"))</f>
        <v>nee</v>
      </c>
    </row>
    <row r="64" spans="2:10" x14ac:dyDescent="0.25">
      <c r="B64" t="s">
        <v>71</v>
      </c>
      <c r="C64">
        <f>IF(AND(C62="ja",C63="ja"),2,1)</f>
        <v>1</v>
      </c>
    </row>
    <row r="67" spans="2:3" x14ac:dyDescent="0.25">
      <c r="B67" t="s">
        <v>92</v>
      </c>
    </row>
    <row r="68" spans="2:3" x14ac:dyDescent="0.25">
      <c r="B68" t="s">
        <v>93</v>
      </c>
    </row>
    <row r="70" spans="2:3" x14ac:dyDescent="0.25">
      <c r="B70">
        <v>1</v>
      </c>
      <c r="C70" t="s">
        <v>94</v>
      </c>
    </row>
    <row r="71" spans="2:3" x14ac:dyDescent="0.25">
      <c r="B71">
        <v>2</v>
      </c>
      <c r="C71"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2AC7-4027-4791-A91E-FBBA7D895C65}">
  <dimension ref="A2:F38"/>
  <sheetViews>
    <sheetView workbookViewId="0">
      <selection activeCell="B17" sqref="B17"/>
    </sheetView>
  </sheetViews>
  <sheetFormatPr defaultRowHeight="15" x14ac:dyDescent="0.25"/>
  <cols>
    <col min="3" max="3" width="12.42578125" bestFit="1" customWidth="1"/>
  </cols>
  <sheetData>
    <row r="2" spans="1:5" x14ac:dyDescent="0.25">
      <c r="B2" t="s">
        <v>31</v>
      </c>
    </row>
    <row r="3" spans="1:5" x14ac:dyDescent="0.25">
      <c r="B3" t="s">
        <v>40</v>
      </c>
      <c r="C3" t="s">
        <v>41</v>
      </c>
      <c r="D3" t="s">
        <v>41</v>
      </c>
      <c r="E3" t="s">
        <v>50</v>
      </c>
    </row>
    <row r="4" spans="1:5" x14ac:dyDescent="0.25">
      <c r="B4" t="s">
        <v>32</v>
      </c>
      <c r="C4" t="s">
        <v>33</v>
      </c>
      <c r="D4">
        <v>1</v>
      </c>
      <c r="E4" t="str">
        <f>""</f>
        <v/>
      </c>
    </row>
    <row r="5" spans="1:5" x14ac:dyDescent="0.25">
      <c r="B5" s="4"/>
      <c r="C5" t="s">
        <v>34</v>
      </c>
      <c r="D5">
        <v>2</v>
      </c>
      <c r="E5" t="s">
        <v>96</v>
      </c>
    </row>
    <row r="7" spans="1:5" x14ac:dyDescent="0.25">
      <c r="B7" t="s">
        <v>35</v>
      </c>
      <c r="C7" t="s">
        <v>33</v>
      </c>
      <c r="D7">
        <v>1</v>
      </c>
      <c r="E7" t="str">
        <f>""</f>
        <v/>
      </c>
    </row>
    <row r="8" spans="1:5" x14ac:dyDescent="0.25">
      <c r="B8" s="4"/>
      <c r="C8" t="s">
        <v>34</v>
      </c>
      <c r="D8">
        <v>2</v>
      </c>
      <c r="E8" t="s">
        <v>97</v>
      </c>
    </row>
    <row r="10" spans="1:5" x14ac:dyDescent="0.25">
      <c r="B10" t="s">
        <v>36</v>
      </c>
      <c r="C10" t="s">
        <v>33</v>
      </c>
      <c r="D10">
        <v>1</v>
      </c>
      <c r="E10" t="str">
        <f>""</f>
        <v/>
      </c>
    </row>
    <row r="11" spans="1:5" x14ac:dyDescent="0.25">
      <c r="B11" s="4"/>
      <c r="C11" t="s">
        <v>34</v>
      </c>
      <c r="D11">
        <v>2</v>
      </c>
      <c r="E11" t="s">
        <v>51</v>
      </c>
    </row>
    <row r="13" spans="1:5" x14ac:dyDescent="0.25">
      <c r="B13" t="s">
        <v>37</v>
      </c>
      <c r="C13" t="str">
        <f>IF('Keuzeblad maatregelen'!J23="","",'Keuzeblad maatregelen'!J23)</f>
        <v/>
      </c>
      <c r="D13">
        <v>1</v>
      </c>
      <c r="E13" t="str">
        <f>""</f>
        <v/>
      </c>
    </row>
    <row r="14" spans="1:5" x14ac:dyDescent="0.25">
      <c r="A14" t="s">
        <v>91</v>
      </c>
      <c r="B14" s="4">
        <f>IF(C13&lt;C14,D13,D14)</f>
        <v>2</v>
      </c>
      <c r="C14">
        <v>2019</v>
      </c>
      <c r="D14">
        <v>2</v>
      </c>
      <c r="E14" t="s">
        <v>52</v>
      </c>
    </row>
    <row r="16" spans="1:5" x14ac:dyDescent="0.25">
      <c r="B16" t="s">
        <v>39</v>
      </c>
      <c r="C16" s="3" t="s">
        <v>33</v>
      </c>
      <c r="D16">
        <v>1</v>
      </c>
      <c r="E16" t="str">
        <f>""</f>
        <v/>
      </c>
    </row>
    <row r="17" spans="2:5" x14ac:dyDescent="0.25">
      <c r="B17" s="4"/>
      <c r="C17" s="2" t="s">
        <v>34</v>
      </c>
      <c r="D17">
        <v>2</v>
      </c>
      <c r="E17" t="s">
        <v>98</v>
      </c>
    </row>
    <row r="19" spans="2:5" x14ac:dyDescent="0.25">
      <c r="B19" t="s">
        <v>38</v>
      </c>
      <c r="C19" t="s">
        <v>42</v>
      </c>
      <c r="D19">
        <v>1</v>
      </c>
      <c r="E19" t="s">
        <v>99</v>
      </c>
    </row>
    <row r="20" spans="2:5" x14ac:dyDescent="0.25">
      <c r="B20" s="4"/>
      <c r="C20" t="s">
        <v>43</v>
      </c>
      <c r="D20">
        <v>2</v>
      </c>
      <c r="E20" t="s">
        <v>99</v>
      </c>
    </row>
    <row r="21" spans="2:5" x14ac:dyDescent="0.25">
      <c r="C21" t="s">
        <v>44</v>
      </c>
      <c r="D21">
        <v>3</v>
      </c>
      <c r="E21" t="str">
        <f>""</f>
        <v/>
      </c>
    </row>
    <row r="22" spans="2:5" x14ac:dyDescent="0.25">
      <c r="C22" t="s">
        <v>45</v>
      </c>
      <c r="D22">
        <v>4</v>
      </c>
      <c r="E22" t="str">
        <f>""</f>
        <v/>
      </c>
    </row>
    <row r="23" spans="2:5" x14ac:dyDescent="0.25">
      <c r="C23" t="s">
        <v>46</v>
      </c>
      <c r="D23">
        <v>5</v>
      </c>
      <c r="E23" t="str">
        <f>""</f>
        <v/>
      </c>
    </row>
    <row r="24" spans="2:5" x14ac:dyDescent="0.25">
      <c r="C24" t="s">
        <v>47</v>
      </c>
      <c r="D24">
        <v>6</v>
      </c>
      <c r="E24" t="str">
        <f>""</f>
        <v/>
      </c>
    </row>
    <row r="25" spans="2:5" x14ac:dyDescent="0.25">
      <c r="C25" t="s">
        <v>48</v>
      </c>
      <c r="D25">
        <v>7</v>
      </c>
      <c r="E25" t="str">
        <f>""</f>
        <v/>
      </c>
    </row>
    <row r="26" spans="2:5" x14ac:dyDescent="0.25">
      <c r="C26" t="s">
        <v>49</v>
      </c>
      <c r="D26">
        <v>8</v>
      </c>
      <c r="E26" t="str">
        <f>""</f>
        <v/>
      </c>
    </row>
    <row r="28" spans="2:5" x14ac:dyDescent="0.25">
      <c r="B28">
        <f>IF(AND(B5=1,B8=1,B11=1,B14=1)=TRUE,IF(B17=1,IF(OR(B20=8,B20=3)=TRUE,2,IF(OR(B20=4,B20=5,B20=6,B20=7)=TRUE,3,1)),1),4)</f>
        <v>4</v>
      </c>
      <c r="C28" t="s">
        <v>55</v>
      </c>
      <c r="D28">
        <v>1</v>
      </c>
      <c r="E28" t="str">
        <f>""</f>
        <v/>
      </c>
    </row>
    <row r="29" spans="2:5" x14ac:dyDescent="0.25">
      <c r="C29" t="s">
        <v>53</v>
      </c>
      <c r="D29">
        <v>2</v>
      </c>
      <c r="E29" t="s">
        <v>118</v>
      </c>
    </row>
    <row r="30" spans="2:5" x14ac:dyDescent="0.25">
      <c r="C30" t="s">
        <v>54</v>
      </c>
      <c r="D30">
        <v>3</v>
      </c>
      <c r="E30" t="s">
        <v>117</v>
      </c>
    </row>
    <row r="31" spans="2:5" x14ac:dyDescent="0.25">
      <c r="C31" t="s">
        <v>88</v>
      </c>
      <c r="D31">
        <v>4</v>
      </c>
      <c r="E31" t="s">
        <v>100</v>
      </c>
    </row>
    <row r="33" spans="2:6" x14ac:dyDescent="0.25">
      <c r="B33">
        <f>IF(AND(B5=1,B8=1,B11=1,B14=1),1,2)</f>
        <v>2</v>
      </c>
      <c r="C33" t="s">
        <v>86</v>
      </c>
      <c r="D33">
        <v>1</v>
      </c>
    </row>
    <row r="34" spans="2:6" x14ac:dyDescent="0.25">
      <c r="C34" t="s">
        <v>87</v>
      </c>
      <c r="D34">
        <v>2</v>
      </c>
    </row>
    <row r="38" spans="2:6" x14ac:dyDescent="0.25">
      <c r="F38"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Keuzeblad maatregelen</vt:lpstr>
      <vt:lpstr>Berekening subsidies</vt:lpstr>
      <vt:lpstr>Berekening voorwaarden</vt:lpstr>
    </vt:vector>
  </TitlesOfParts>
  <Company>SSC de Kempen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Aarts</dc:creator>
  <cp:lastModifiedBy>Bart Aarts</cp:lastModifiedBy>
  <dcterms:created xsi:type="dcterms:W3CDTF">2023-04-26T11:40:26Z</dcterms:created>
  <dcterms:modified xsi:type="dcterms:W3CDTF">2025-10-20T07:43:10Z</dcterms:modified>
</cp:coreProperties>
</file>