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fakton.sharepoint.com/sites/111140/Shared Documents/Werkdocumenten/Rekenmodel/"/>
    </mc:Choice>
  </mc:AlternateContent>
  <xr:revisionPtr revIDLastSave="186" documentId="8_{BFAA208B-29BE-4F31-BADD-D0EE41E27318}" xr6:coauthVersionLast="47" xr6:coauthVersionMax="47" xr10:uidLastSave="{4BE28381-63F0-4DAA-A8A4-F937C0B2DCB9}"/>
  <workbookProtection workbookAlgorithmName="SHA-512" workbookHashValue="JiKiSncJAK5Za6YiUvL6K1CD6vq2Mke6AHwQSdUX1C2S/Bd5E27Ck5UENrfj/e4ZTUwCQisxICZczX1bV/B3iQ==" workbookSaltValue="MrBe2L2M0RnViVbe/J9a+g==" workbookSpinCount="100000" lockStructure="1"/>
  <bookViews>
    <workbookView xWindow="35925" yWindow="-21720" windowWidth="51840" windowHeight="21120" xr2:uid="{11D8FB04-F3D2-46BD-91D1-D8E5F0C03B0C}"/>
  </bookViews>
  <sheets>
    <sheet name="Vereveningsfonds" sheetId="5" r:id="rId1"/>
    <sheet name="Archief" sheetId="2" state="hidden" r:id="rId2"/>
  </sheet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4" i="5" l="1" a="1"/>
  <c r="K44" i="5" s="1"/>
  <c r="K43" i="5" a="1"/>
  <c r="K43" i="5" s="1"/>
  <c r="K42" i="5" a="1"/>
  <c r="K42" i="5" s="1"/>
  <c r="K41" i="5" a="1"/>
  <c r="K41" i="5" s="1"/>
  <c r="K40" i="5" a="1"/>
  <c r="K40" i="5" s="1"/>
  <c r="K39" i="5" a="1"/>
  <c r="K39" i="5" s="1"/>
  <c r="K38" i="5" a="1"/>
  <c r="K38" i="5" s="1"/>
  <c r="K37" i="5" a="1"/>
  <c r="K37" i="5" s="1"/>
  <c r="K36" i="5" a="1"/>
  <c r="K36" i="5" s="1"/>
  <c r="K35" i="5" a="1"/>
  <c r="K35" i="5" s="1"/>
  <c r="K34" i="5" a="1"/>
  <c r="K34" i="5" s="1"/>
  <c r="K33" i="5" a="1"/>
  <c r="K33" i="5" s="1"/>
  <c r="M33" i="5" a="1"/>
  <c r="M33" i="5" s="1"/>
  <c r="M34" i="5" a="1"/>
  <c r="M34" i="5" s="1"/>
  <c r="M35" i="5" a="1"/>
  <c r="M35" i="5" s="1"/>
  <c r="M36" i="5" a="1"/>
  <c r="M36" i="5" s="1"/>
  <c r="M37" i="5" a="1"/>
  <c r="M37" i="5" s="1"/>
  <c r="M38" i="5" a="1"/>
  <c r="M38" i="5" s="1"/>
  <c r="M39" i="5" a="1"/>
  <c r="M39" i="5" s="1"/>
  <c r="M40" i="5" a="1"/>
  <c r="M40" i="5" s="1"/>
  <c r="M41" i="5" a="1"/>
  <c r="M41" i="5" s="1"/>
  <c r="M42" i="5" a="1"/>
  <c r="M42" i="5" s="1"/>
  <c r="M43" i="5" a="1"/>
  <c r="M43" i="5" s="1"/>
  <c r="M44" i="5" a="1"/>
  <c r="M44" i="5" s="1"/>
  <c r="M45" i="5" a="1"/>
  <c r="M45" i="5" s="1"/>
  <c r="M46" i="5" a="1"/>
  <c r="M46" i="5" s="1"/>
  <c r="M47" i="5" a="1"/>
  <c r="M47" i="5" s="1"/>
  <c r="M48" i="5" a="1"/>
  <c r="M48" i="5" s="1"/>
  <c r="M49" i="5" a="1"/>
  <c r="M49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G20" i="5"/>
  <c r="N35" i="5"/>
  <c r="N37" i="5"/>
  <c r="N38" i="5"/>
  <c r="N39" i="5"/>
  <c r="N40" i="5"/>
  <c r="N36" i="5"/>
  <c r="C118" i="5" l="1"/>
  <c r="I57" i="5" a="1"/>
  <c r="I57" i="5" s="1"/>
  <c r="I61" i="5" a="1"/>
  <c r="I61" i="5" s="1"/>
  <c r="I60" i="5" a="1"/>
  <c r="I60" i="5" s="1"/>
  <c r="I55" i="5" a="1"/>
  <c r="I55" i="5" s="1"/>
  <c r="I58" i="5" a="1"/>
  <c r="I58" i="5" s="1"/>
  <c r="I54" i="5" a="1"/>
  <c r="I54" i="5" s="1"/>
  <c r="G142" i="5"/>
  <c r="G149" i="5"/>
  <c r="H149" i="5"/>
  <c r="H146" i="5"/>
  <c r="G146" i="5"/>
  <c r="G143" i="5"/>
  <c r="H143" i="5"/>
  <c r="H142" i="5"/>
  <c r="G127" i="5"/>
  <c r="G131" i="5"/>
  <c r="H127" i="5"/>
  <c r="H144" i="5" l="1"/>
  <c r="H147" i="5" s="1"/>
  <c r="H150" i="5" s="1"/>
  <c r="G144" i="5"/>
  <c r="G147" i="5" s="1"/>
  <c r="G150" i="5" s="1"/>
  <c r="H131" i="5"/>
  <c r="H129" i="5"/>
  <c r="G129" i="5"/>
  <c r="H122" i="5"/>
  <c r="G61" i="5"/>
  <c r="G122" i="5"/>
  <c r="G60" i="5"/>
  <c r="J59" i="5"/>
  <c r="G59" i="5"/>
  <c r="H61" i="5" s="1"/>
  <c r="H124" i="5"/>
  <c r="G58" i="5"/>
  <c r="G124" i="5"/>
  <c r="G57" i="5"/>
  <c r="J56" i="5"/>
  <c r="G56" i="5"/>
  <c r="M55" i="5"/>
  <c r="G55" i="5"/>
  <c r="G54" i="5"/>
  <c r="J53" i="5"/>
  <c r="G53" i="5"/>
  <c r="K50" i="5"/>
  <c r="L45" i="2"/>
  <c r="F80" i="5" l="1"/>
  <c r="H56" i="5"/>
  <c r="H58" i="5"/>
  <c r="H57" i="5"/>
  <c r="F78" i="5"/>
  <c r="H55" i="5"/>
  <c r="H152" i="5" s="1"/>
  <c r="F64" i="5"/>
  <c r="F65" i="5"/>
  <c r="F94" i="5" s="1"/>
  <c r="G94" i="5" s="1"/>
  <c r="H59" i="5"/>
  <c r="K59" i="5" s="1"/>
  <c r="M59" i="5" s="1"/>
  <c r="H53" i="5"/>
  <c r="H54" i="5"/>
  <c r="G152" i="5" s="1"/>
  <c r="Q50" i="5"/>
  <c r="H60" i="5"/>
  <c r="I43" i="2"/>
  <c r="I44" i="2"/>
  <c r="L44" i="2" s="1"/>
  <c r="I46" i="2"/>
  <c r="I47" i="2"/>
  <c r="I50" i="2"/>
  <c r="I49" i="2"/>
  <c r="H76" i="2"/>
  <c r="G76" i="2"/>
  <c r="H75" i="2"/>
  <c r="G75" i="2"/>
  <c r="G74" i="2"/>
  <c r="H74" i="2"/>
  <c r="H73" i="2"/>
  <c r="G73" i="2"/>
  <c r="G66" i="2"/>
  <c r="H66" i="2"/>
  <c r="H65" i="2"/>
  <c r="G65" i="2"/>
  <c r="H62" i="2"/>
  <c r="G62" i="2"/>
  <c r="G50" i="2"/>
  <c r="G49" i="2"/>
  <c r="G47" i="2"/>
  <c r="G46" i="2"/>
  <c r="G44" i="2"/>
  <c r="G43" i="2"/>
  <c r="J48" i="2"/>
  <c r="J45" i="2"/>
  <c r="J42" i="2"/>
  <c r="G48" i="2"/>
  <c r="H50" i="2" s="1"/>
  <c r="G45" i="2"/>
  <c r="H47" i="2" s="1"/>
  <c r="G42" i="2"/>
  <c r="H44" i="2" s="1"/>
  <c r="K39" i="2"/>
  <c r="H60" i="2" s="1"/>
  <c r="G78" i="5" l="1"/>
  <c r="F115" i="5" a="1"/>
  <c r="F115" i="5" s="1"/>
  <c r="C114" i="5" a="1"/>
  <c r="C114" i="5" s="1"/>
  <c r="C112" i="5" a="1"/>
  <c r="C112" i="5" s="1"/>
  <c r="C115" i="5" a="1"/>
  <c r="C115" i="5" s="1"/>
  <c r="C113" i="5" a="1"/>
  <c r="C113" i="5" s="1"/>
  <c r="C111" i="5" a="1"/>
  <c r="C111" i="5" s="1"/>
  <c r="C110" i="5" a="1"/>
  <c r="C110" i="5" s="1"/>
  <c r="F68" i="5"/>
  <c r="G68" i="5" s="1"/>
  <c r="G65" i="5"/>
  <c r="G64" i="5"/>
  <c r="K53" i="5"/>
  <c r="M53" i="5" s="1"/>
  <c r="K56" i="5"/>
  <c r="G60" i="2"/>
  <c r="H48" i="2"/>
  <c r="K48" i="2" s="1"/>
  <c r="M39" i="2"/>
  <c r="H43" i="2"/>
  <c r="H46" i="2"/>
  <c r="H49" i="2"/>
  <c r="H42" i="2"/>
  <c r="H45" i="2"/>
  <c r="K45" i="2" s="1"/>
  <c r="G53" i="2" s="1"/>
  <c r="M56" i="5" l="1"/>
  <c r="F69" i="5" s="1"/>
  <c r="F87" i="5" s="1"/>
  <c r="G99" i="5"/>
  <c r="F100" i="5" s="1"/>
  <c r="G97" i="5"/>
  <c r="F98" i="5" s="1"/>
  <c r="G72" i="5"/>
  <c r="G71" i="5"/>
  <c r="F96" i="5"/>
  <c r="G96" i="5" s="1"/>
  <c r="G70" i="5"/>
  <c r="F73" i="5"/>
  <c r="G80" i="5" s="1"/>
  <c r="J53" i="2"/>
  <c r="H64" i="2"/>
  <c r="H61" i="2"/>
  <c r="H63" i="2" s="1"/>
  <c r="H67" i="2" s="1"/>
  <c r="G61" i="2"/>
  <c r="G63" i="2" s="1"/>
  <c r="G64" i="2"/>
  <c r="K42" i="2"/>
  <c r="G79" i="5" l="1"/>
  <c r="F95" i="5"/>
  <c r="F103" i="5" s="1"/>
  <c r="G76" i="5"/>
  <c r="F82" i="5" s="1"/>
  <c r="G81" i="5"/>
  <c r="G100" i="5"/>
  <c r="G98" i="5"/>
  <c r="G73" i="5"/>
  <c r="C57" i="2"/>
  <c r="G55" i="2"/>
  <c r="J54" i="2"/>
  <c r="G54" i="2"/>
  <c r="G67" i="2"/>
  <c r="J55" i="2"/>
  <c r="H72" i="2"/>
  <c r="H77" i="2" s="1"/>
  <c r="G72" i="2"/>
  <c r="G77" i="2" s="1"/>
  <c r="F104" i="5" l="1"/>
  <c r="G104" i="5" s="1"/>
  <c r="F105" i="5"/>
  <c r="G105" i="5" s="1"/>
  <c r="G95" i="5"/>
  <c r="G74" i="5"/>
  <c r="F75" i="5" s="1"/>
  <c r="F89" i="5"/>
  <c r="G69" i="5"/>
  <c r="G103" i="5"/>
  <c r="G82" i="5"/>
  <c r="I78" i="2"/>
  <c r="I68" i="2"/>
  <c r="F88" i="5" l="1"/>
  <c r="G91" i="5" s="1"/>
  <c r="G87" i="5"/>
  <c r="G111" i="5" s="1" a="1"/>
  <c r="G111" i="5" s="1"/>
  <c r="F106" i="5"/>
  <c r="G106" i="5" s="1"/>
  <c r="G107" i="5"/>
  <c r="F111" i="5" a="1"/>
  <c r="F111" i="5" s="1"/>
  <c r="G75" i="5"/>
  <c r="G115" i="5" l="1" a="1"/>
  <c r="G115" i="5" s="1"/>
  <c r="G89" i="5"/>
  <c r="G113" i="5" s="1" a="1"/>
  <c r="G113" i="5" s="1"/>
  <c r="F113" i="5" a="1"/>
  <c r="F113" i="5" s="1"/>
  <c r="F112" i="5" a="1"/>
  <c r="F112" i="5" s="1"/>
  <c r="G88" i="5"/>
  <c r="G112" i="5" s="1" a="1"/>
  <c r="G112" i="5" s="1"/>
  <c r="F90" i="5"/>
  <c r="F114" i="5" s="1" a="1"/>
  <c r="F114" i="5" s="1"/>
  <c r="G125" i="5" l="1"/>
  <c r="H125" i="5"/>
  <c r="H123" i="5"/>
  <c r="G123" i="5"/>
  <c r="I135" i="5"/>
  <c r="C117" i="5"/>
  <c r="I153" i="5"/>
  <c r="G153" i="5" s="1"/>
  <c r="G154" i="5" s="1"/>
  <c r="G90" i="5"/>
  <c r="G114" i="5" s="1" a="1"/>
  <c r="G114" i="5" s="1"/>
  <c r="B157" i="5" a="1"/>
  <c r="B157" i="5" s="1"/>
  <c r="I157" i="5" a="1"/>
  <c r="I157" i="5" s="1"/>
  <c r="G157" i="5" a="1"/>
  <c r="G157" i="5" s="1"/>
  <c r="H157" i="5" a="1"/>
  <c r="H157" i="5" s="1"/>
  <c r="H126" i="5" l="1"/>
  <c r="H128" i="5" s="1"/>
  <c r="H134" i="5"/>
  <c r="H135" i="5" s="1"/>
  <c r="G126" i="5"/>
  <c r="G134" i="5"/>
  <c r="G135" i="5" s="1"/>
  <c r="H153" i="5"/>
  <c r="H154" i="5" s="1"/>
  <c r="I155" i="5" s="1"/>
  <c r="G128" i="5" l="1"/>
  <c r="H132" i="5"/>
  <c r="H136" i="5" s="1"/>
  <c r="H130" i="5"/>
  <c r="G132" i="5" l="1"/>
  <c r="G136" i="5" s="1"/>
  <c r="I137" i="5" s="1"/>
  <c r="G130" i="5"/>
  <c r="I117" i="5" l="1" a="1"/>
  <c r="I117" i="5" s="1"/>
  <c r="E158" i="5" a="1"/>
  <c r="E158" i="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<sst xmlns="http://schemas.openxmlformats.org/spreadsheetml/2006/main" count="356" uniqueCount="214">
  <si>
    <t>Sociaal</t>
  </si>
  <si>
    <t>Middelduur</t>
  </si>
  <si>
    <t>Vrije sector</t>
  </si>
  <si>
    <t>Vereveningsfonds Utrechtse Heuvelrug</t>
  </si>
  <si>
    <t>Invoer programma</t>
  </si>
  <si>
    <t>Aantal</t>
  </si>
  <si>
    <t>Woningtype</t>
  </si>
  <si>
    <t>VON-prijs/beleggingswaarde</t>
  </si>
  <si>
    <t>Classifisering</t>
  </si>
  <si>
    <t>Resultaat</t>
  </si>
  <si>
    <t>Vastgoed 1</t>
  </si>
  <si>
    <t>EGW</t>
  </si>
  <si>
    <t>-</t>
  </si>
  <si>
    <t>Vastgoed 2</t>
  </si>
  <si>
    <t>Vastgoed 3</t>
  </si>
  <si>
    <t>Vastgoed 4</t>
  </si>
  <si>
    <t>Vastgoed 5</t>
  </si>
  <si>
    <t>Vastgoed 6</t>
  </si>
  <si>
    <t>Vastgoed 7</t>
  </si>
  <si>
    <t>Vastgoed 8</t>
  </si>
  <si>
    <t>Vastgoed 9</t>
  </si>
  <si>
    <t>Vastgoed 10</t>
  </si>
  <si>
    <t>Vastgoed 11</t>
  </si>
  <si>
    <t>Vastgoed 12</t>
  </si>
  <si>
    <t>Vastgoed 13</t>
  </si>
  <si>
    <t>Vastgoed 14</t>
  </si>
  <si>
    <t>Vastgoed 15</t>
  </si>
  <si>
    <t>Vastgoed 16</t>
  </si>
  <si>
    <t>Vastgoed 17</t>
  </si>
  <si>
    <t>Aantal woningen</t>
  </si>
  <si>
    <t>#</t>
  </si>
  <si>
    <t>Meergezinswoning</t>
  </si>
  <si>
    <t>Eengezinswoning</t>
  </si>
  <si>
    <t>Grondquote</t>
  </si>
  <si>
    <t>Grondprijs sociaal</t>
  </si>
  <si>
    <t>VON-prijs normwoning</t>
  </si>
  <si>
    <t>Hoogte van afdracht</t>
  </si>
  <si>
    <t>Aantal niet-gerealiseerde sociale woningen</t>
  </si>
  <si>
    <t>+</t>
  </si>
  <si>
    <t>Gemiddelde VON-prijs dure woningen</t>
  </si>
  <si>
    <t>*</t>
  </si>
  <si>
    <t>BTW</t>
  </si>
  <si>
    <t>/</t>
  </si>
  <si>
    <t>VON-prijs excl. BTW</t>
  </si>
  <si>
    <t>=</t>
  </si>
  <si>
    <t>Grondprijs sociale woning</t>
  </si>
  <si>
    <t>Hoogte van subsidie</t>
  </si>
  <si>
    <t>Maximale aantal woningen bij afkoop</t>
  </si>
  <si>
    <t>Betaalbaarheidsgrens</t>
  </si>
  <si>
    <t>Afdracht verplicht bij</t>
  </si>
  <si>
    <t>Verplicht aandeel sociale huurwoningen</t>
  </si>
  <si>
    <t>Verplicht aandeel betaalbare woningen</t>
  </si>
  <si>
    <t>MGW</t>
  </si>
  <si>
    <t>Algemene uitgangspunten</t>
  </si>
  <si>
    <t>Uitgangspunten vereveningsfonds</t>
  </si>
  <si>
    <t xml:space="preserve">Output </t>
  </si>
  <si>
    <t>Vereist</t>
  </si>
  <si>
    <t>Verdeling type</t>
  </si>
  <si>
    <t>Gemiddelde VON-prijs</t>
  </si>
  <si>
    <t>Delta</t>
  </si>
  <si>
    <t>Ruimte vrije sector woningen</t>
  </si>
  <si>
    <t>Conclusie</t>
  </si>
  <si>
    <t xml:space="preserve">Uw project: </t>
  </si>
  <si>
    <t>a)</t>
  </si>
  <si>
    <t>b)</t>
  </si>
  <si>
    <t>c)</t>
  </si>
  <si>
    <t>Afdracht per woontype</t>
  </si>
  <si>
    <t>Totale afdracht</t>
  </si>
  <si>
    <t>Totaal</t>
  </si>
  <si>
    <t>Susbsidie per woontype</t>
  </si>
  <si>
    <t>Totale subsidie</t>
  </si>
  <si>
    <t>Aantal extra sociale woningen</t>
  </si>
  <si>
    <t>Maximale aantal woningen middeldure huur</t>
  </si>
  <si>
    <t>Verdeling woontype</t>
  </si>
  <si>
    <t>boven de 405000 is rood</t>
  </si>
  <si>
    <t xml:space="preserve">Check: bij minder dan 9 woningen moet de verdeling gaan over middelduur en vrije sector, bij meer dan 9 woningen alleen vrije sector </t>
  </si>
  <si>
    <t>U ontvangt subsidie</t>
  </si>
  <si>
    <t>U moet afdragen</t>
  </si>
  <si>
    <t>Voldoet  aan het vereiste voor middelduur</t>
  </si>
  <si>
    <t>U hoeft niets te doen</t>
  </si>
  <si>
    <t>Voldoet aan aandeel sociale huurwoningen</t>
  </si>
  <si>
    <t>Voldoet aan aandeel betaalbare woningen</t>
  </si>
  <si>
    <t>TRUE bij &lt;40% middelduur</t>
  </si>
  <si>
    <t>Aantal middeldure woningen te veel/ te weinig</t>
  </si>
  <si>
    <t>Aantal sociale huurwoningen te veel/te weinig</t>
  </si>
  <si>
    <t>Aantal betaalbare woningen te veel/te weinig</t>
  </si>
  <si>
    <t>Netto aantal sociale huurwoningen  te veel</t>
  </si>
  <si>
    <t>Afgerond meer dan 1 extra sociale huurwoning</t>
  </si>
  <si>
    <t>Subconclusie</t>
  </si>
  <si>
    <t>Aantal sociaal te veel is afgerond meer dan 1 woning</t>
  </si>
  <si>
    <t>Aantal sociaal te weinig na compensatie middelduur</t>
  </si>
  <si>
    <t>A</t>
  </si>
  <si>
    <t>B</t>
  </si>
  <si>
    <t>D</t>
  </si>
  <si>
    <t>C</t>
  </si>
  <si>
    <t>Er zijn meer dan 9 woningen</t>
  </si>
  <si>
    <t>Er zijn 9 woningen of minder</t>
  </si>
  <si>
    <t>E</t>
  </si>
  <si>
    <t>Gemiddelde afdracht per woning</t>
  </si>
  <si>
    <t>VON-prijs normwoning excl. BTW</t>
  </si>
  <si>
    <t xml:space="preserve">* </t>
  </si>
  <si>
    <t>Grondwaarde normwoning</t>
  </si>
  <si>
    <t xml:space="preserve">Grondprijs sociale woningen </t>
  </si>
  <si>
    <t xml:space="preserve">- </t>
  </si>
  <si>
    <t>Verschil grondwaarde normwoning  en grondprijs sociaal</t>
  </si>
  <si>
    <t>Gemiddelde grondwaarde</t>
  </si>
  <si>
    <t xml:space="preserve">= </t>
  </si>
  <si>
    <t>BESCHRIJVING</t>
  </si>
  <si>
    <t>Delta middelduur * totale aantal woningen</t>
  </si>
  <si>
    <t>Delta sociale huurwoningen * totale aantal woningen</t>
  </si>
  <si>
    <t>Totaal extra sociaal + betaalbaar</t>
  </si>
  <si>
    <t>TRUE bij minimaal 40% middelduur én minimaal 70 middelduur + sociaal</t>
  </si>
  <si>
    <t>Aantal extra sociaal indien betaalbaar totaal &gt; 70%</t>
  </si>
  <si>
    <t>9 woningen of minder</t>
  </si>
  <si>
    <t>TRUE bij delta middelduur &gt; = 0</t>
  </si>
  <si>
    <t>TRUE bij 9 woningen of meer</t>
  </si>
  <si>
    <t xml:space="preserve">TRUE bij delta sociaal &gt;= 0 </t>
  </si>
  <si>
    <t>TRUE bij middelduur =, 40% én netto te verevenen &gt;= 0,5</t>
  </si>
  <si>
    <t>TRUE bij middelduur =, 40% én netto te verevenen &lt; 0 woningen</t>
  </si>
  <si>
    <t>TRUE bij voldoet aan middelduur, voldoet aan sociaal en aantal sociaal extra &lt; 0,5</t>
  </si>
  <si>
    <t>Geeft de juiste subconclusie weer</t>
  </si>
  <si>
    <t xml:space="preserve">Geeft aan welke situatie van toepassing is </t>
  </si>
  <si>
    <t>Geeft subsidie/afdracht weer afhankelijk van situatie die van toepassing is</t>
  </si>
  <si>
    <t>Aantal niet gerealiseerde woingen naar EGW/MGW</t>
  </si>
  <si>
    <t>Afdracht</t>
  </si>
  <si>
    <t>Verhouding EGW/MGW</t>
  </si>
  <si>
    <t>Aantal extra sociale woningen EGW en MGW</t>
  </si>
  <si>
    <t>Indien subsidie, aantal woningen te verevenen. Indien afdragen, aantal woningen te verevenen * -1</t>
  </si>
  <si>
    <t>Geeft alleen woningaantal weer indien subsidie, anders 0</t>
  </si>
  <si>
    <t>Geeft alleen woningaantal weer indien afdracht, anders 0</t>
  </si>
  <si>
    <t>Over aantal woningen</t>
  </si>
  <si>
    <t>Woonsegment</t>
  </si>
  <si>
    <t>Woontype</t>
  </si>
  <si>
    <t>Berekening</t>
  </si>
  <si>
    <t>Flag</t>
  </si>
  <si>
    <t>Subsidie</t>
  </si>
  <si>
    <t>Afgerond meer dan 1 sociale huurwoning te compenseren</t>
  </si>
  <si>
    <t>Netto aantal sociale huurwoningen te weinig</t>
  </si>
  <si>
    <t>Delta sociaal * aantal woningen indien positief getal</t>
  </si>
  <si>
    <t>Delta sociaal * aantal woningen indien negatief getal</t>
  </si>
  <si>
    <t>True bij aantal te veel &gt; 0,5</t>
  </si>
  <si>
    <t>True bij aantal te weinig &lt; -0,5</t>
  </si>
  <si>
    <t>Delta %</t>
  </si>
  <si>
    <t>Delta #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</si>
  <si>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</si>
  <si>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</si>
  <si>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</si>
  <si>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</si>
  <si>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</si>
  <si>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</si>
  <si>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</si>
  <si>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</si>
  <si>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</si>
  <si>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</si>
  <si>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Aantal sociale huurwoningen te compenseren</t>
  </si>
  <si>
    <t>TRUE bij delta middelduur &lt; - 0,5 woningen</t>
  </si>
  <si>
    <t>k</t>
  </si>
  <si>
    <t>Gewogen gemiddelde VON-prijs extra EGW en MGW</t>
  </si>
  <si>
    <t>Er is 1 woning</t>
  </si>
  <si>
    <t>l</t>
  </si>
  <si>
    <t>m</t>
  </si>
  <si>
    <t>Aantal te verevenen in geval van hierboven</t>
  </si>
  <si>
    <t xml:space="preserve">Rekent alleen door bij afdracht, en getal tussen 0 en 100, anders 0. Dit gaat anders fout bij - 0,2 betaalbare woningen. </t>
  </si>
  <si>
    <t>Minimaal 3 woningen en afgerond meer dan 1 sociale huurwoning te compenseren</t>
  </si>
  <si>
    <t>Er zijn 2 woningen</t>
  </si>
  <si>
    <t>Er zijn meer dan 2 woningen, én meer dan 0,5 te weinig</t>
  </si>
  <si>
    <t>TRUE bij delta middelduur &lt; - 0,5 woningen. Dus afgerond minimaal één woning te weinig</t>
  </si>
  <si>
    <t>Altijd voldoen aan middelduur. Gaat automatisch goed bij 1 woning. Afwijkende voorwaarde voor 2 woningen</t>
  </si>
  <si>
    <t xml:space="preserve">Afwijkende voorwaarde voor 1 woning, 2 woningen of 3 woningen. </t>
  </si>
  <si>
    <t>Van toepassing indien andere subconclusies niet van toepassing</t>
  </si>
  <si>
    <t>Hnagt af van: subsidie of afdracht. Vervolgens afwijkende voorwaarden voor 1 woning, 2 woningen en 3 of meer woningen</t>
  </si>
  <si>
    <t>Rekent alleen door bij afdracht, en getal tussen 0 en 100, anders 0. Dit gaat anders fout bij - 0,2 betaalbare woningen. Bij minder dan 9 woningen, altijd 100% vrije sector</t>
  </si>
  <si>
    <t>Toelichting</t>
  </si>
  <si>
    <t>Uitgangspunten algemeen</t>
  </si>
  <si>
    <t>Vastgoedtype 1</t>
  </si>
  <si>
    <t>Vastgoedtype 2</t>
  </si>
  <si>
    <t>Vastgoedtype 3</t>
  </si>
  <si>
    <t>Vastgoedtype 4</t>
  </si>
  <si>
    <t>Vastgoedtype 5</t>
  </si>
  <si>
    <t>Vastgoedtype 6</t>
  </si>
  <si>
    <t>Vastgoedtype 7</t>
  </si>
  <si>
    <t>Vastgoedtype 8</t>
  </si>
  <si>
    <t>Vastgoedtype 9</t>
  </si>
  <si>
    <t>Vastgoedtype 10</t>
  </si>
  <si>
    <t>Vastgoedtype 11</t>
  </si>
  <si>
    <t>Vastgoedtype 12</t>
  </si>
  <si>
    <t>Vastgoedtype 13</t>
  </si>
  <si>
    <t>Vastgoedtype 14</t>
  </si>
  <si>
    <t>Vastgoedtype 15</t>
  </si>
  <si>
    <t>Vastgoedtype 16</t>
  </si>
  <si>
    <t>Vastgoedtype 17</t>
  </si>
  <si>
    <t>invoer (keuzeveld)</t>
  </si>
  <si>
    <t>invoer (getal)</t>
  </si>
  <si>
    <t>Uitgangspunten grondwaarden woontypen</t>
  </si>
  <si>
    <t>Onder ‘Algemene uitgangspunten’ ziet u welke uitgangspunten gelden voor het vereveningsfonds.</t>
  </si>
  <si>
    <t>‘Uitgangspunten grondwaarden woontypen’ toont de verschillen tussen eengezinswoningen en meergezinswoningen.</t>
  </si>
  <si>
    <t>Bij ‘Invoer programma’ voert u het woonprogramma in. U kunt maximaal 17 verschillende vastgoedtypen opgeven.</t>
  </si>
  <si>
    <t>In het onderdeel ‘Conclusie’ leest u de conclusie met betrekking tot het vereveningsfonds.</t>
  </si>
  <si>
    <t>Indien er sprake is van een afdracht of subsidie, verschijnt de bijbehorende berekening</t>
  </si>
  <si>
    <t>Programmaverdeling</t>
  </si>
  <si>
    <t>‘Programmaverdeling’ toont een overzicht van de verschillende segmenten.</t>
  </si>
  <si>
    <t>Het woningbouwplan voldoet niet aan de vereiste van minimaal 40% betaalbaar</t>
  </si>
  <si>
    <t>Versie: 25-07-2025</t>
  </si>
  <si>
    <t>Betaalbaar</t>
  </si>
  <si>
    <t>Duur</t>
  </si>
  <si>
    <t>Gemiddelde VON-prijs extra dure woningen</t>
  </si>
  <si>
    <t xml:space="preserve">Gemiddelde VON-prijs extra betaalbare woningen </t>
  </si>
  <si>
    <t>Verhouding extra dure woningen</t>
  </si>
  <si>
    <t>Verhouding extra betaalbare woningen</t>
  </si>
  <si>
    <t>Maximale aantal woningen betaalbaar</t>
  </si>
  <si>
    <t>Betaalbaarheidsgrens betaalbaar</t>
  </si>
  <si>
    <t>Toelage betaalbaar zorggeschikt</t>
  </si>
  <si>
    <t>Betaalbaarheidsgrens betaalbaar zorggeschikt</t>
  </si>
  <si>
    <t>Ruimte dure woningen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</si>
</sst>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164" formatCode="_ &quot;€&quot;\ * #,##0.0_ ;_ &quot;€&quot;\ * \-#,##0.0_ ;_ &quot;€&quot;\ * &quot;-&quot;??_ ;_ @_ "/>
    <numFmt numFmtId="165" formatCode="_ &quot;€&quot;\ * #,##0_ ;_ &quot;€&quot;\ * \-#,##0_ ;_ &quot;€&quot;\ * &quot;-&quot;??_ ;_ @_ "/>
    <numFmt numFmtId="166" formatCode="0.0"/>
    <numFmt numFmtId="167" formatCode="0.0000"/>
  </numFmts>
  <fonts count="2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rgb="FF002060"/>
      <name val="Aptos Narrow"/>
      <family val="2"/>
      <scheme val="minor"/>
    </font>
    <font>
      <sz val="11"/>
      <color theme="1"/>
      <name val="Calibri"/>
      <family val="2"/>
    </font>
    <font>
      <i/>
      <sz val="11"/>
      <color theme="0" tint="-0.499984740745262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rgb="FF0000FF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theme="0" tint="-0.249977111117893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i/>
      <sz val="11"/>
      <color rgb="FF0000F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11"/>
      <color theme="2" tint="-0.499984740745262"/>
      <name val="Aptos Narrow"/>
      <family val="2"/>
      <scheme val="minor"/>
    </font>
    <font>
      <sz val="11"/>
      <color theme="1"/>
      <name val="Calibri"/>
      <family val="2"/>
    </font>
    <font>
      <i/>
      <sz val="11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b/>
      <sz val="11"/>
      <color rgb="FF679E35"/>
      <name val="Aptos Narrow"/>
      <family val="2"/>
      <scheme val="minor"/>
    </font>
    <font>
      <b/>
      <sz val="11"/>
      <color rgb="FF1A1826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A2D175"/>
        <bgColor indexed="64"/>
      </patternFill>
    </fill>
    <fill>
      <patternFill patternType="solid">
        <fgColor rgb="FFEAF5E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2">
    <xf numFmtId="0" fontId="0" fillId="0" borderId="0" xfId="0"/>
    <xf numFmtId="0" fontId="0" fillId="2" borderId="0" xfId="0" applyFill="1"/>
    <xf numFmtId="0" fontId="3" fillId="2" borderId="0" xfId="0" applyFont="1" applyFill="1"/>
    <xf numFmtId="0" fontId="2" fillId="2" borderId="0" xfId="0" applyFont="1" applyFill="1"/>
    <xf numFmtId="0" fontId="6" fillId="2" borderId="0" xfId="0" applyFont="1" applyFill="1"/>
    <xf numFmtId="0" fontId="4" fillId="2" borderId="0" xfId="0" applyFont="1" applyFill="1"/>
    <xf numFmtId="0" fontId="0" fillId="2" borderId="0" xfId="0" quotePrefix="1" applyFill="1"/>
    <xf numFmtId="0" fontId="8" fillId="2" borderId="0" xfId="0" applyFont="1" applyFill="1"/>
    <xf numFmtId="9" fontId="0" fillId="2" borderId="0" xfId="0" applyNumberFormat="1" applyFill="1"/>
    <xf numFmtId="44" fontId="0" fillId="2" borderId="0" xfId="1" applyFont="1" applyFill="1"/>
    <xf numFmtId="0" fontId="0" fillId="2" borderId="2" xfId="0" applyFill="1" applyBorder="1"/>
    <xf numFmtId="0" fontId="0" fillId="2" borderId="2" xfId="0" quotePrefix="1" applyFill="1" applyBorder="1"/>
    <xf numFmtId="0" fontId="0" fillId="2" borderId="3" xfId="0" applyFill="1" applyBorder="1"/>
    <xf numFmtId="0" fontId="0" fillId="2" borderId="3" xfId="0" quotePrefix="1" applyFill="1" applyBorder="1"/>
    <xf numFmtId="0" fontId="2" fillId="2" borderId="0" xfId="0" quotePrefix="1" applyFont="1" applyFill="1"/>
    <xf numFmtId="0" fontId="5" fillId="2" borderId="0" xfId="0" applyFont="1" applyFill="1" applyAlignment="1">
      <alignment horizontal="right"/>
    </xf>
    <xf numFmtId="1" fontId="9" fillId="3" borderId="0" xfId="0" applyNumberFormat="1" applyFont="1" applyFill="1" applyAlignment="1" applyProtection="1">
      <alignment horizontal="right"/>
      <protection locked="0"/>
    </xf>
    <xf numFmtId="44" fontId="9" fillId="3" borderId="0" xfId="1" applyFont="1" applyFill="1" applyAlignment="1" applyProtection="1">
      <alignment horizontal="right"/>
      <protection locked="0"/>
    </xf>
    <xf numFmtId="2" fontId="9" fillId="3" borderId="0" xfId="0" applyNumberFormat="1" applyFont="1" applyFill="1" applyAlignment="1" applyProtection="1">
      <alignment horizontal="right"/>
      <protection locked="0"/>
    </xf>
    <xf numFmtId="9" fontId="9" fillId="3" borderId="0" xfId="2" applyFont="1" applyFill="1" applyAlignment="1" applyProtection="1">
      <alignment horizontal="right"/>
      <protection locked="0"/>
    </xf>
    <xf numFmtId="1" fontId="0" fillId="2" borderId="1" xfId="0" applyNumberFormat="1" applyFill="1" applyBorder="1"/>
    <xf numFmtId="0" fontId="3" fillId="2" borderId="2" xfId="0" applyFont="1" applyFill="1" applyBorder="1"/>
    <xf numFmtId="0" fontId="0" fillId="0" borderId="2" xfId="0" applyBorder="1"/>
    <xf numFmtId="1" fontId="0" fillId="2" borderId="0" xfId="0" applyNumberFormat="1" applyFill="1"/>
    <xf numFmtId="0" fontId="0" fillId="2" borderId="0" xfId="0" applyFill="1" applyAlignment="1">
      <alignment horizontal="right"/>
    </xf>
    <xf numFmtId="0" fontId="0" fillId="5" borderId="0" xfId="0" applyFill="1"/>
    <xf numFmtId="9" fontId="0" fillId="5" borderId="0" xfId="0" applyNumberFormat="1" applyFill="1"/>
    <xf numFmtId="44" fontId="0" fillId="5" borderId="0" xfId="1" applyFont="1" applyFill="1"/>
    <xf numFmtId="9" fontId="0" fillId="2" borderId="0" xfId="2" applyFont="1" applyFill="1"/>
    <xf numFmtId="0" fontId="0" fillId="4" borderId="0" xfId="0" applyFill="1" applyAlignment="1">
      <alignment horizontal="right"/>
    </xf>
    <xf numFmtId="44" fontId="10" fillId="2" borderId="0" xfId="1" applyFont="1" applyFill="1" applyAlignment="1">
      <alignment horizontal="right"/>
    </xf>
    <xf numFmtId="0" fontId="0" fillId="2" borderId="0" xfId="0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/>
    <xf numFmtId="9" fontId="11" fillId="2" borderId="0" xfId="2" applyFont="1" applyFill="1"/>
    <xf numFmtId="0" fontId="6" fillId="2" borderId="0" xfId="0" applyFont="1" applyFill="1" applyAlignment="1">
      <alignment horizontal="right"/>
    </xf>
    <xf numFmtId="0" fontId="4" fillId="2" borderId="2" xfId="0" applyFont="1" applyFill="1" applyBorder="1"/>
    <xf numFmtId="44" fontId="0" fillId="2" borderId="0" xfId="0" applyNumberFormat="1" applyFill="1"/>
    <xf numFmtId="9" fontId="12" fillId="2" borderId="2" xfId="0" applyNumberFormat="1" applyFont="1" applyFill="1" applyBorder="1"/>
    <xf numFmtId="9" fontId="12" fillId="2" borderId="0" xfId="0" applyNumberFormat="1" applyFont="1" applyFill="1"/>
    <xf numFmtId="44" fontId="0" fillId="6" borderId="0" xfId="0" applyNumberFormat="1" applyFill="1"/>
    <xf numFmtId="0" fontId="13" fillId="2" borderId="0" xfId="0" applyFont="1" applyFill="1"/>
    <xf numFmtId="44" fontId="0" fillId="2" borderId="3" xfId="1" applyFont="1" applyFill="1" applyBorder="1"/>
    <xf numFmtId="166" fontId="0" fillId="2" borderId="0" xfId="0" applyNumberFormat="1" applyFill="1" applyAlignment="1">
      <alignment horizontal="right"/>
    </xf>
    <xf numFmtId="0" fontId="4" fillId="6" borderId="2" xfId="0" applyFont="1" applyFill="1" applyBorder="1"/>
    <xf numFmtId="0" fontId="14" fillId="2" borderId="0" xfId="0" applyFont="1" applyFill="1"/>
    <xf numFmtId="0" fontId="9" fillId="3" borderId="0" xfId="2" applyNumberFormat="1" applyFont="1" applyFill="1" applyAlignment="1" applyProtection="1">
      <alignment horizontal="right"/>
      <protection locked="0"/>
    </xf>
    <xf numFmtId="0" fontId="0" fillId="2" borderId="4" xfId="0" applyFill="1" applyBorder="1"/>
    <xf numFmtId="0" fontId="2" fillId="2" borderId="4" xfId="0" applyFont="1" applyFill="1" applyBorder="1"/>
    <xf numFmtId="165" fontId="0" fillId="2" borderId="4" xfId="0" applyNumberFormat="1" applyFill="1" applyBorder="1"/>
    <xf numFmtId="0" fontId="0" fillId="2" borderId="5" xfId="0" applyFill="1" applyBorder="1"/>
    <xf numFmtId="0" fontId="0" fillId="2" borderId="5" xfId="0" quotePrefix="1" applyFill="1" applyBorder="1"/>
    <xf numFmtId="164" fontId="0" fillId="2" borderId="5" xfId="0" applyNumberFormat="1" applyFill="1" applyBorder="1"/>
    <xf numFmtId="10" fontId="11" fillId="2" borderId="0" xfId="2" applyNumberFormat="1" applyFont="1" applyFill="1"/>
    <xf numFmtId="165" fontId="0" fillId="2" borderId="5" xfId="0" applyNumberFormat="1" applyFill="1" applyBorder="1"/>
    <xf numFmtId="165" fontId="0" fillId="6" borderId="0" xfId="0" applyNumberFormat="1" applyFill="1"/>
    <xf numFmtId="165" fontId="12" fillId="2" borderId="3" xfId="0" applyNumberFormat="1" applyFont="1" applyFill="1" applyBorder="1"/>
    <xf numFmtId="165" fontId="9" fillId="6" borderId="0" xfId="1" applyNumberFormat="1" applyFont="1" applyFill="1" applyAlignment="1" applyProtection="1">
      <alignment horizontal="right"/>
    </xf>
    <xf numFmtId="1" fontId="9" fillId="11" borderId="0" xfId="0" applyNumberFormat="1" applyFont="1" applyFill="1" applyAlignment="1" applyProtection="1">
      <alignment horizontal="right"/>
      <protection locked="0"/>
    </xf>
    <xf numFmtId="1" fontId="9" fillId="11" borderId="2" xfId="0" applyNumberFormat="1" applyFont="1" applyFill="1" applyBorder="1" applyAlignment="1" applyProtection="1">
      <alignment horizontal="right"/>
      <protection locked="0"/>
    </xf>
    <xf numFmtId="44" fontId="9" fillId="11" borderId="0" xfId="1" applyFont="1" applyFill="1" applyAlignment="1" applyProtection="1">
      <alignment horizontal="right"/>
      <protection locked="0"/>
    </xf>
    <xf numFmtId="44" fontId="9" fillId="11" borderId="2" xfId="1" applyFont="1" applyFill="1" applyBorder="1" applyAlignment="1" applyProtection="1">
      <alignment horizontal="right"/>
      <protection locked="0"/>
    </xf>
    <xf numFmtId="44" fontId="9" fillId="11" borderId="0" xfId="3" applyFont="1" applyFill="1" applyAlignment="1" applyProtection="1">
      <alignment horizontal="right"/>
      <protection locked="0"/>
    </xf>
    <xf numFmtId="0" fontId="0" fillId="10" borderId="0" xfId="0" applyFill="1" applyAlignment="1" applyProtection="1">
      <alignment horizontal="right"/>
      <protection locked="0"/>
    </xf>
    <xf numFmtId="0" fontId="0" fillId="2" borderId="0" xfId="0" applyFill="1" applyProtection="1"/>
    <xf numFmtId="0" fontId="0" fillId="0" borderId="0" xfId="0" applyProtection="1"/>
    <xf numFmtId="0" fontId="3" fillId="2" borderId="0" xfId="0" applyFont="1" applyFill="1" applyProtection="1"/>
    <xf numFmtId="0" fontId="26" fillId="2" borderId="0" xfId="0" applyFont="1" applyFill="1" applyAlignment="1" applyProtection="1">
      <alignment vertical="top"/>
    </xf>
    <xf numFmtId="0" fontId="28" fillId="2" borderId="2" xfId="0" applyFont="1" applyFill="1" applyBorder="1" applyAlignment="1" applyProtection="1">
      <alignment horizontal="left"/>
    </xf>
    <xf numFmtId="0" fontId="0" fillId="2" borderId="2" xfId="0" applyFill="1" applyBorder="1" applyProtection="1"/>
    <xf numFmtId="1" fontId="24" fillId="11" borderId="0" xfId="0" applyNumberFormat="1" applyFont="1" applyFill="1" applyAlignment="1" applyProtection="1">
      <alignment horizontal="right"/>
    </xf>
    <xf numFmtId="0" fontId="0" fillId="10" borderId="0" xfId="0" applyFill="1" applyAlignment="1" applyProtection="1">
      <alignment horizontal="right"/>
    </xf>
    <xf numFmtId="1" fontId="9" fillId="6" borderId="0" xfId="0" applyNumberFormat="1" applyFont="1" applyFill="1" applyAlignment="1" applyProtection="1">
      <alignment horizontal="right"/>
    </xf>
    <xf numFmtId="1" fontId="24" fillId="3" borderId="0" xfId="0" applyNumberFormat="1" applyFont="1" applyFill="1" applyAlignment="1" applyProtection="1">
      <alignment horizontal="right"/>
    </xf>
    <xf numFmtId="0" fontId="9" fillId="6" borderId="0" xfId="2" applyNumberFormat="1" applyFont="1" applyFill="1" applyAlignment="1" applyProtection="1">
      <alignment horizontal="right"/>
    </xf>
    <xf numFmtId="9" fontId="9" fillId="6" borderId="0" xfId="1" applyNumberFormat="1" applyFont="1" applyFill="1" applyAlignment="1" applyProtection="1">
      <alignment horizontal="right"/>
    </xf>
    <xf numFmtId="9" fontId="9" fillId="6" borderId="0" xfId="2" applyFont="1" applyFill="1" applyAlignment="1" applyProtection="1">
      <alignment horizontal="right"/>
    </xf>
    <xf numFmtId="0" fontId="27" fillId="2" borderId="2" xfId="0" applyFont="1" applyFill="1" applyBorder="1" applyAlignment="1" applyProtection="1">
      <alignment horizontal="right"/>
    </xf>
    <xf numFmtId="44" fontId="0" fillId="6" borderId="0" xfId="1" applyFont="1" applyFill="1" applyProtection="1"/>
    <xf numFmtId="9" fontId="0" fillId="6" borderId="0" xfId="0" applyNumberFormat="1" applyFill="1" applyProtection="1"/>
    <xf numFmtId="0" fontId="8" fillId="2" borderId="0" xfId="0" applyFont="1" applyFill="1" applyProtection="1"/>
    <xf numFmtId="0" fontId="5" fillId="2" borderId="0" xfId="0" applyFont="1" applyFill="1" applyAlignment="1" applyProtection="1">
      <alignment horizontal="right"/>
    </xf>
    <xf numFmtId="0" fontId="0" fillId="0" borderId="2" xfId="0" applyBorder="1" applyProtection="1"/>
    <xf numFmtId="0" fontId="6" fillId="2" borderId="0" xfId="0" applyFont="1" applyFill="1" applyAlignment="1" applyProtection="1">
      <alignment horizontal="right"/>
    </xf>
    <xf numFmtId="0" fontId="4" fillId="2" borderId="0" xfId="0" applyFont="1" applyFill="1" applyProtection="1"/>
    <xf numFmtId="0" fontId="21" fillId="2" borderId="0" xfId="0" applyFont="1" applyFill="1" applyAlignment="1" applyProtection="1">
      <alignment horizontal="right"/>
    </xf>
    <xf numFmtId="0" fontId="17" fillId="2" borderId="0" xfId="0" applyFont="1" applyFill="1" applyAlignment="1" applyProtection="1">
      <alignment horizontal="right"/>
    </xf>
    <xf numFmtId="0" fontId="14" fillId="2" borderId="0" xfId="0" applyFont="1" applyFill="1" applyAlignment="1" applyProtection="1">
      <alignment horizontal="left"/>
    </xf>
    <xf numFmtId="0" fontId="2" fillId="2" borderId="0" xfId="0" applyFont="1" applyFill="1" applyProtection="1"/>
    <xf numFmtId="1" fontId="2" fillId="2" borderId="1" xfId="0" applyNumberFormat="1" applyFont="1" applyFill="1" applyBorder="1" applyProtection="1"/>
    <xf numFmtId="1" fontId="0" fillId="2" borderId="0" xfId="0" applyNumberFormat="1" applyFill="1" applyProtection="1"/>
    <xf numFmtId="0" fontId="14" fillId="2" borderId="0" xfId="0" applyFont="1" applyFill="1" applyProtection="1"/>
    <xf numFmtId="0" fontId="0" fillId="5" borderId="0" xfId="0" applyFill="1" applyProtection="1"/>
    <xf numFmtId="9" fontId="0" fillId="5" borderId="0" xfId="0" applyNumberFormat="1" applyFill="1" applyProtection="1"/>
    <xf numFmtId="44" fontId="0" fillId="5" borderId="0" xfId="1" applyFont="1" applyFill="1" applyProtection="1"/>
    <xf numFmtId="9" fontId="0" fillId="2" borderId="0" xfId="2" applyFont="1" applyFill="1" applyProtection="1"/>
    <xf numFmtId="0" fontId="23" fillId="2" borderId="0" xfId="0" applyFont="1" applyFill="1" applyProtection="1"/>
    <xf numFmtId="0" fontId="11" fillId="2" borderId="0" xfId="0" applyFont="1" applyFill="1" applyAlignment="1" applyProtection="1">
      <alignment horizontal="left"/>
    </xf>
    <xf numFmtId="0" fontId="11" fillId="2" borderId="0" xfId="0" applyFont="1" applyFill="1" applyProtection="1"/>
    <xf numFmtId="9" fontId="11" fillId="2" borderId="0" xfId="2" applyFont="1" applyFill="1" applyProtection="1"/>
    <xf numFmtId="44" fontId="10" fillId="2" borderId="0" xfId="1" applyFont="1" applyFill="1" applyAlignment="1" applyProtection="1">
      <alignment horizontal="right"/>
    </xf>
    <xf numFmtId="0" fontId="13" fillId="2" borderId="0" xfId="0" applyFont="1" applyFill="1" applyProtection="1"/>
    <xf numFmtId="0" fontId="0" fillId="2" borderId="0" xfId="0" applyFill="1" applyAlignment="1" applyProtection="1">
      <alignment horizontal="left"/>
    </xf>
    <xf numFmtId="0" fontId="18" fillId="2" borderId="2" xfId="0" applyFont="1" applyFill="1" applyBorder="1" applyProtection="1"/>
    <xf numFmtId="0" fontId="5" fillId="2" borderId="2" xfId="0" applyFont="1" applyFill="1" applyBorder="1" applyAlignment="1" applyProtection="1">
      <alignment horizontal="right"/>
    </xf>
    <xf numFmtId="9" fontId="0" fillId="2" borderId="0" xfId="0" applyNumberFormat="1" applyFill="1" applyProtection="1"/>
    <xf numFmtId="44" fontId="0" fillId="2" borderId="0" xfId="1" applyFont="1" applyFill="1" applyProtection="1"/>
    <xf numFmtId="0" fontId="15" fillId="2" borderId="0" xfId="0" applyFont="1" applyFill="1" applyProtection="1"/>
    <xf numFmtId="0" fontId="0" fillId="2" borderId="0" xfId="0" applyFill="1" applyAlignment="1" applyProtection="1">
      <alignment horizontal="right"/>
    </xf>
    <xf numFmtId="0" fontId="16" fillId="2" borderId="0" xfId="0" applyFont="1" applyFill="1" applyProtection="1"/>
    <xf numFmtId="0" fontId="18" fillId="2" borderId="0" xfId="0" applyFont="1" applyFill="1" applyProtection="1"/>
    <xf numFmtId="0" fontId="17" fillId="2" borderId="0" xfId="0" applyFont="1" applyFill="1" applyProtection="1"/>
    <xf numFmtId="2" fontId="17" fillId="7" borderId="0" xfId="0" applyNumberFormat="1" applyFont="1" applyFill="1" applyAlignment="1" applyProtection="1">
      <alignment horizontal="right"/>
    </xf>
    <xf numFmtId="2" fontId="0" fillId="7" borderId="0" xfId="0" applyNumberFormat="1" applyFill="1" applyAlignment="1" applyProtection="1">
      <alignment horizontal="right"/>
    </xf>
    <xf numFmtId="2" fontId="0" fillId="8" borderId="0" xfId="0" applyNumberFormat="1" applyFill="1" applyAlignment="1" applyProtection="1">
      <alignment horizontal="right"/>
    </xf>
    <xf numFmtId="2" fontId="0" fillId="9" borderId="0" xfId="0" applyNumberFormat="1" applyFill="1" applyAlignment="1" applyProtection="1">
      <alignment horizontal="right"/>
    </xf>
    <xf numFmtId="0" fontId="0" fillId="2" borderId="0" xfId="0" applyFill="1" applyAlignment="1" applyProtection="1">
      <alignment horizontal="left" wrapText="1"/>
    </xf>
    <xf numFmtId="2" fontId="0" fillId="2" borderId="0" xfId="0" applyNumberFormat="1" applyFill="1" applyAlignment="1" applyProtection="1">
      <alignment horizontal="right"/>
    </xf>
    <xf numFmtId="2" fontId="0" fillId="2" borderId="0" xfId="0" applyNumberFormat="1" applyFill="1" applyAlignment="1" applyProtection="1">
      <alignment horizontal="center"/>
    </xf>
    <xf numFmtId="0" fontId="16" fillId="2" borderId="0" xfId="0" applyFont="1" applyFill="1" applyAlignment="1" applyProtection="1">
      <alignment horizontal="right"/>
    </xf>
    <xf numFmtId="0" fontId="17" fillId="8" borderId="0" xfId="0" applyFont="1" applyFill="1" applyAlignment="1" applyProtection="1">
      <alignment horizontal="right"/>
    </xf>
    <xf numFmtId="0" fontId="17" fillId="9" borderId="0" xfId="0" applyFont="1" applyFill="1" applyAlignment="1" applyProtection="1">
      <alignment horizontal="right"/>
    </xf>
    <xf numFmtId="0" fontId="4" fillId="2" borderId="0" xfId="0" applyFont="1" applyFill="1" applyAlignment="1" applyProtection="1">
      <alignment horizontal="right"/>
    </xf>
    <xf numFmtId="2" fontId="17" fillId="2" borderId="0" xfId="0" applyNumberFormat="1" applyFont="1" applyFill="1" applyAlignment="1" applyProtection="1">
      <alignment horizontal="right"/>
    </xf>
    <xf numFmtId="2" fontId="17" fillId="8" borderId="0" xfId="0" applyNumberFormat="1" applyFont="1" applyFill="1" applyAlignment="1" applyProtection="1">
      <alignment horizontal="right"/>
    </xf>
    <xf numFmtId="2" fontId="17" fillId="9" borderId="0" xfId="0" applyNumberFormat="1" applyFont="1" applyFill="1" applyAlignment="1" applyProtection="1">
      <alignment horizontal="right"/>
    </xf>
    <xf numFmtId="0" fontId="17" fillId="2" borderId="0" xfId="0" applyFont="1" applyFill="1" applyAlignment="1" applyProtection="1">
      <alignment horizontal="center"/>
    </xf>
    <xf numFmtId="0" fontId="4" fillId="2" borderId="2" xfId="0" applyFont="1" applyFill="1" applyBorder="1" applyProtection="1"/>
    <xf numFmtId="0" fontId="0" fillId="2" borderId="2" xfId="0" applyFill="1" applyBorder="1" applyAlignment="1" applyProtection="1">
      <alignment horizontal="right"/>
    </xf>
    <xf numFmtId="0" fontId="21" fillId="2" borderId="0" xfId="0" applyFont="1" applyFill="1" applyProtection="1"/>
    <xf numFmtId="0" fontId="15" fillId="6" borderId="6" xfId="0" applyFont="1" applyFill="1" applyBorder="1" applyProtection="1"/>
    <xf numFmtId="0" fontId="0" fillId="6" borderId="6" xfId="0" applyFill="1" applyBorder="1" applyProtection="1"/>
    <xf numFmtId="0" fontId="4" fillId="2" borderId="6" xfId="0" applyFont="1" applyFill="1" applyBorder="1" applyProtection="1"/>
    <xf numFmtId="165" fontId="15" fillId="6" borderId="6" xfId="1" applyNumberFormat="1" applyFont="1" applyFill="1" applyBorder="1" applyProtection="1"/>
    <xf numFmtId="0" fontId="25" fillId="2" borderId="0" xfId="0" applyFont="1" applyFill="1" applyProtection="1"/>
    <xf numFmtId="165" fontId="15" fillId="2" borderId="0" xfId="1" applyNumberFormat="1" applyFont="1" applyFill="1" applyBorder="1" applyProtection="1"/>
    <xf numFmtId="44" fontId="19" fillId="2" borderId="0" xfId="2" applyNumberFormat="1" applyFont="1" applyFill="1" applyProtection="1"/>
    <xf numFmtId="9" fontId="4" fillId="2" borderId="0" xfId="0" applyNumberFormat="1" applyFont="1" applyFill="1" applyProtection="1"/>
    <xf numFmtId="9" fontId="4" fillId="2" borderId="2" xfId="2" applyFont="1" applyFill="1" applyBorder="1" applyProtection="1"/>
    <xf numFmtId="165" fontId="4" fillId="2" borderId="0" xfId="1" applyNumberFormat="1" applyFont="1" applyFill="1" applyBorder="1" applyProtection="1"/>
    <xf numFmtId="0" fontId="0" fillId="2" borderId="2" xfId="0" quotePrefix="1" applyFill="1" applyBorder="1" applyProtection="1"/>
    <xf numFmtId="9" fontId="12" fillId="2" borderId="2" xfId="0" applyNumberFormat="1" applyFont="1" applyFill="1" applyBorder="1" applyProtection="1"/>
    <xf numFmtId="165" fontId="0" fillId="2" borderId="0" xfId="0" applyNumberFormat="1" applyFill="1" applyProtection="1"/>
    <xf numFmtId="0" fontId="0" fillId="2" borderId="0" xfId="0" quotePrefix="1" applyFill="1" applyProtection="1"/>
    <xf numFmtId="165" fontId="12" fillId="2" borderId="0" xfId="0" applyNumberFormat="1" applyFont="1" applyFill="1" applyProtection="1"/>
    <xf numFmtId="0" fontId="2" fillId="2" borderId="4" xfId="0" applyFont="1" applyFill="1" applyBorder="1" applyProtection="1"/>
    <xf numFmtId="0" fontId="2" fillId="2" borderId="4" xfId="0" quotePrefix="1" applyFont="1" applyFill="1" applyBorder="1" applyProtection="1"/>
    <xf numFmtId="165" fontId="0" fillId="2" borderId="4" xfId="0" applyNumberFormat="1" applyFill="1" applyBorder="1" applyProtection="1"/>
    <xf numFmtId="9" fontId="0" fillId="2" borderId="0" xfId="2" applyFont="1" applyFill="1" applyBorder="1" applyProtection="1"/>
    <xf numFmtId="44" fontId="0" fillId="2" borderId="0" xfId="0" applyNumberFormat="1" applyFill="1" applyProtection="1"/>
    <xf numFmtId="2" fontId="0" fillId="2" borderId="0" xfId="0" applyNumberFormat="1" applyFill="1" applyProtection="1"/>
    <xf numFmtId="2" fontId="12" fillId="2" borderId="0" xfId="0" applyNumberFormat="1" applyFont="1" applyFill="1" applyProtection="1"/>
    <xf numFmtId="0" fontId="0" fillId="2" borderId="4" xfId="0" applyFill="1" applyBorder="1" applyProtection="1"/>
    <xf numFmtId="165" fontId="0" fillId="2" borderId="4" xfId="1" applyNumberFormat="1" applyFont="1" applyFill="1" applyBorder="1" applyProtection="1"/>
    <xf numFmtId="165" fontId="2" fillId="6" borderId="0" xfId="1" applyNumberFormat="1" applyFont="1" applyFill="1" applyProtection="1"/>
    <xf numFmtId="0" fontId="2" fillId="2" borderId="0" xfId="0" quotePrefix="1" applyFont="1" applyFill="1" applyProtection="1"/>
    <xf numFmtId="44" fontId="12" fillId="2" borderId="0" xfId="0" applyNumberFormat="1" applyFont="1" applyFill="1" applyAlignment="1" applyProtection="1">
      <alignment horizontal="right"/>
    </xf>
    <xf numFmtId="9" fontId="12" fillId="2" borderId="2" xfId="2" applyFont="1" applyFill="1" applyBorder="1" applyAlignment="1" applyProtection="1">
      <alignment horizontal="right"/>
    </xf>
    <xf numFmtId="44" fontId="0" fillId="2" borderId="0" xfId="0" applyNumberFormat="1" applyFill="1" applyAlignment="1" applyProtection="1">
      <alignment horizontal="right"/>
    </xf>
    <xf numFmtId="9" fontId="12" fillId="2" borderId="2" xfId="0" applyNumberFormat="1" applyFont="1" applyFill="1" applyBorder="1" applyAlignment="1" applyProtection="1">
      <alignment horizontal="right"/>
    </xf>
    <xf numFmtId="44" fontId="0" fillId="2" borderId="4" xfId="0" applyNumberFormat="1" applyFill="1" applyBorder="1" applyAlignment="1" applyProtection="1">
      <alignment horizontal="right"/>
    </xf>
    <xf numFmtId="9" fontId="12" fillId="2" borderId="0" xfId="0" applyNumberFormat="1" applyFont="1" applyFill="1" applyAlignment="1" applyProtection="1">
      <alignment horizontal="right"/>
    </xf>
    <xf numFmtId="0" fontId="12" fillId="2" borderId="0" xfId="0" applyFont="1" applyFill="1" applyProtection="1"/>
    <xf numFmtId="44" fontId="0" fillId="2" borderId="2" xfId="0" applyNumberFormat="1" applyFill="1" applyBorder="1" applyProtection="1"/>
    <xf numFmtId="165" fontId="2" fillId="6" borderId="0" xfId="0" applyNumberFormat="1" applyFont="1" applyFill="1" applyProtection="1"/>
    <xf numFmtId="44" fontId="0" fillId="2" borderId="0" xfId="1" applyFont="1" applyFill="1" applyAlignment="1" applyProtection="1">
      <alignment horizontal="right"/>
    </xf>
    <xf numFmtId="9" fontId="0" fillId="2" borderId="0" xfId="2" applyFont="1" applyFill="1" applyAlignment="1" applyProtection="1">
      <alignment horizontal="right"/>
    </xf>
    <xf numFmtId="9" fontId="0" fillId="2" borderId="2" xfId="2" applyFont="1" applyFill="1" applyBorder="1" applyAlignment="1" applyProtection="1">
      <alignment horizontal="right"/>
    </xf>
    <xf numFmtId="165" fontId="0" fillId="2" borderId="0" xfId="1" applyNumberFormat="1" applyFont="1" applyFill="1" applyAlignment="1" applyProtection="1">
      <alignment horizontal="right"/>
    </xf>
    <xf numFmtId="44" fontId="0" fillId="2" borderId="0" xfId="1" applyFont="1" applyFill="1" applyBorder="1" applyAlignment="1" applyProtection="1">
      <alignment horizontal="right"/>
    </xf>
    <xf numFmtId="44" fontId="0" fillId="2" borderId="2" xfId="1" applyFont="1" applyFill="1" applyBorder="1" applyAlignment="1" applyProtection="1">
      <alignment horizontal="right"/>
    </xf>
    <xf numFmtId="44" fontId="2" fillId="2" borderId="0" xfId="1" applyFont="1" applyFill="1" applyAlignment="1" applyProtection="1">
      <alignment horizontal="right"/>
    </xf>
    <xf numFmtId="167" fontId="21" fillId="2" borderId="0" xfId="1" applyNumberFormat="1" applyFont="1" applyFill="1" applyAlignment="1" applyProtection="1">
      <alignment horizontal="right"/>
    </xf>
    <xf numFmtId="9" fontId="1" fillId="2" borderId="2" xfId="2" applyFont="1" applyFill="1" applyBorder="1" applyAlignment="1" applyProtection="1">
      <alignment horizontal="right"/>
    </xf>
    <xf numFmtId="0" fontId="20" fillId="2" borderId="0" xfId="0" applyFont="1" applyFill="1" applyProtection="1"/>
    <xf numFmtId="2" fontId="1" fillId="2" borderId="0" xfId="1" applyNumberFormat="1" applyFont="1" applyFill="1" applyProtection="1"/>
    <xf numFmtId="2" fontId="2" fillId="2" borderId="0" xfId="0" applyNumberFormat="1" applyFont="1" applyFill="1" applyProtection="1"/>
    <xf numFmtId="0" fontId="0" fillId="2" borderId="6" xfId="0" applyFill="1" applyBorder="1" applyProtection="1"/>
    <xf numFmtId="0" fontId="22" fillId="2" borderId="6" xfId="0" applyFont="1" applyFill="1" applyBorder="1" applyProtection="1"/>
    <xf numFmtId="44" fontId="1" fillId="2" borderId="6" xfId="1" applyFont="1" applyFill="1" applyBorder="1" applyProtection="1"/>
    <xf numFmtId="0" fontId="21" fillId="2" borderId="6" xfId="0" applyFont="1" applyFill="1" applyBorder="1" applyProtection="1"/>
    <xf numFmtId="0" fontId="0" fillId="10" borderId="2" xfId="0" applyFill="1" applyBorder="1" applyAlignment="1" applyProtection="1">
      <alignment horizontal="right"/>
      <protection locked="0"/>
    </xf>
  </cellXfs>
  <cellStyles count="4">
    <cellStyle name="Currency" xfId="1" builtinId="4"/>
    <cellStyle name="Currency 2" xfId="3" xr:uid="{3A8724BC-537F-4AA2-875B-DBE59CE0A1CD}"/>
    <cellStyle name="Normal" xfId="0" builtinId="0"/>
    <cellStyle name="Percent" xfId="2" builtinId="5"/>
  </cellStyles>
  <dxfs count="68">
    <dxf>
      <font>
        <color theme="6"/>
      </font>
    </dxf>
    <dxf>
      <font>
        <color rgb="FFC00000"/>
      </font>
    </dxf>
    <dxf>
      <font>
        <color rgb="FF9C0006"/>
      </font>
      <fill>
        <patternFill>
          <bgColor rgb="FFFFC7CE"/>
        </patternFill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ont>
        <color rgb="FFFF0000"/>
      </font>
      <fill>
        <patternFill>
          <fgColor theme="0"/>
        </patternFill>
      </fill>
    </dxf>
    <dxf>
      <fill>
        <patternFill patternType="darkDown"/>
      </fill>
    </dxf>
    <dxf>
      <font>
        <color theme="0"/>
      </font>
    </dxf>
    <dxf>
      <font>
        <color theme="6"/>
      </font>
    </dxf>
    <dxf>
      <font>
        <color rgb="FFC0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numFmt numFmtId="168" formatCode="&quot;€&quot;\ #,##0"/>
      <fill>
        <patternFill>
          <fgColor theme="0" tint="-4.9989318521683403E-2"/>
          <bgColor theme="0" tint="-4.9989318521683403E-2"/>
        </patternFill>
      </fill>
      <border>
        <top style="thin">
          <color auto="1"/>
        </top>
      </border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 patternType="solid">
          <f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solid">
          <f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solid">
          <f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solid">
          <f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/>
      </font>
    </dxf>
    <dxf>
      <numFmt numFmtId="169" formatCode="&quot;€&quot;\ #,##0.00"/>
    </dxf>
    <dxf>
      <numFmt numFmtId="166" formatCode="0.0"/>
    </dxf>
    <dxf>
      <numFmt numFmtId="13" formatCode="0%"/>
    </dxf>
    <dxf>
      <numFmt numFmtId="169" formatCode="&quot;€&quot;\ #,##0.00"/>
    </dxf>
    <dxf>
      <numFmt numFmtId="169" formatCode="&quot;€&quot;\ #,##0.00"/>
    </dxf>
    <dxf>
      <font>
        <color theme="0"/>
      </font>
    </dxf>
    <dxf>
      <fill>
        <patternFill>
          <bgColor theme="0"/>
        </patternFill>
      </fill>
      <border>
        <left/>
        <right/>
        <top/>
        <bottom/>
      </border>
    </dxf>
    <dxf>
      <font>
        <color theme="1"/>
      </font>
      <border>
        <bottom style="thin">
          <color auto="1"/>
        </bottom>
        <vertical/>
        <horizontal/>
      </border>
    </dxf>
    <dxf>
      <font>
        <b val="0"/>
        <i val="0"/>
      </font>
    </dxf>
    <dxf>
      <font>
        <color theme="0"/>
      </font>
      <border>
        <left/>
        <right/>
        <top/>
        <bottom/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border>
        <bottom style="thin">
          <color auto="1"/>
        </bottom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font>
        <b/>
        <i val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C1E1A3"/>
      <color rgb="FFA2D175"/>
      <color rgb="FFEAF5E0"/>
      <color rgb="FF1A1826"/>
      <color rgb="FF679E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3371850</xdr:colOff>
      <xdr:row>1</xdr:row>
      <xdr:rowOff>66676</xdr:rowOff>
    </xdr:from>
    <xdr:to>
      <xdr:col>6</xdr:col>
      <xdr:colOff>1028700</xdr:colOff>
      <xdr:row>2</xdr:row>
      <xdr:rowOff>200541</xdr:rowOff>
    </xdr:to>
    <xdr:pic>
      <xdr:nvPicPr>
        <xdr:cNvPr id="2" name="Picture 1" descr="Home | Heuvelrug">
          <a:extLst>
            <a:ext uri="{FF2B5EF4-FFF2-40B4-BE49-F238E27FC236}">
              <a16:creationId xmlns:a16="http://schemas.microsoft.com/office/drawing/2014/main" id="{6AF387D3-B8EE-FF1F-7AFC-DF703482E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257176"/>
          <a:ext cx="2228850" cy="5672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1</xdr:row>
      <xdr:rowOff>38101</xdr:rowOff>
    </xdr:from>
    <xdr:to>
      <xdr:col>8</xdr:col>
      <xdr:colOff>66675</xdr:colOff>
      <xdr:row>3</xdr:row>
      <xdr:rowOff>86734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5F30727E-9209-E630-A5C7-47E0C2E5A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81800" y="228601"/>
          <a:ext cx="1409700" cy="7153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07081-BBDD-4641-BB91-ACAC7041D171}">
  <dimension ref="A1:XFC184"/>
  <sheetViews>
    <sheetView tabSelected="1" zoomScaleNormal="100" workbookViewId="0">
      <selection activeCell="E174" sqref="E174"/>
    </sheetView>
  </sheetViews>
  <sheetFormatPr defaultColWidth="23.59765625" defaultRowHeight="14.25" zeroHeight="1" outlineLevelRow="1" outlineLevelCol="1" x14ac:dyDescent="0.45"/>
  <cols>
    <col min="1" max="2" width="4" style="64" customWidth="1"/>
    <col min="3" max="3" width="3.73046875" style="64" customWidth="1"/>
    <col min="4" max="4" width="3.265625" style="64" customWidth="1"/>
    <col min="5" max="5" width="65.265625" style="64" customWidth="1"/>
    <col min="6" max="6" width="3.265625" style="64" customWidth="1"/>
    <col min="7" max="7" width="16.73046875" style="64" bestFit="1" customWidth="1"/>
    <col min="8" max="8" width="21.59765625" style="64" customWidth="1"/>
    <col min="9" max="9" width="26.1328125" style="64" customWidth="1"/>
    <col min="10" max="10" width="19.86328125" style="64" bestFit="1" customWidth="1"/>
    <col min="11" max="11" width="11.86328125" style="64" customWidth="1"/>
    <col min="12" max="12" width="2.73046875" style="64" customWidth="1"/>
    <col min="13" max="13" width="9.265625" style="64" customWidth="1"/>
    <col min="14" max="14" width="12" style="64" hidden="1" customWidth="1" outlineLevel="1"/>
    <col min="15" max="17" width="23.59765625" style="64" hidden="1" customWidth="1" outlineLevel="1"/>
    <col min="18" max="18" width="13.59765625" style="64" customWidth="1" collapsed="1"/>
    <col min="19" max="16383" width="23.59765625" style="64" hidden="1" customWidth="1"/>
    <col min="16384" max="16384" width="4.1328125" style="64" hidden="1" customWidth="1"/>
  </cols>
  <sheetData>
    <row r="1" spans="1:18 11233:11233" s="65" customFormat="1" x14ac:dyDescent="0.45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PPA1" s="64"/>
    </row>
    <row r="2" spans="1:18 11233:11233" s="65" customFormat="1" ht="35.1" customHeight="1" x14ac:dyDescent="0.7">
      <c r="A2" s="64"/>
      <c r="B2" s="66" t="s">
        <v>3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PPA2" s="64"/>
    </row>
    <row r="3" spans="1:18 11233:11233" s="65" customFormat="1" ht="18" customHeight="1" x14ac:dyDescent="0.45">
      <c r="A3" s="64"/>
      <c r="B3" s="67" t="s">
        <v>202</v>
      </c>
      <c r="C3" s="64"/>
      <c r="D3" s="64"/>
      <c r="E3" s="64"/>
      <c r="F3" s="64"/>
      <c r="G3" s="64"/>
      <c r="H3" s="64"/>
      <c r="J3" s="64"/>
      <c r="K3" s="64"/>
      <c r="L3" s="64"/>
      <c r="M3" s="64"/>
      <c r="N3" s="64"/>
      <c r="O3" s="64"/>
      <c r="P3" s="64"/>
      <c r="Q3" s="64"/>
      <c r="R3" s="64"/>
      <c r="PPA3" s="64"/>
    </row>
    <row r="4" spans="1:18 11233:11233" s="65" customFormat="1" ht="14" customHeight="1" x14ac:dyDescent="0.45">
      <c r="A4" s="64"/>
      <c r="B4" s="68" t="s">
        <v>172</v>
      </c>
      <c r="C4" s="69"/>
      <c r="D4" s="69"/>
      <c r="E4" s="69"/>
      <c r="F4" s="69"/>
      <c r="G4" s="69"/>
      <c r="H4" s="69"/>
      <c r="I4" s="64"/>
      <c r="J4" s="64"/>
      <c r="K4" s="64"/>
      <c r="L4" s="64"/>
      <c r="M4" s="64"/>
      <c r="N4" s="64"/>
      <c r="O4" s="64"/>
      <c r="P4" s="64"/>
      <c r="Q4" s="64"/>
      <c r="R4" s="64"/>
      <c r="PPA4" s="64"/>
    </row>
    <row r="5" spans="1:18 11233:11233" s="65" customFormat="1" ht="14" customHeight="1" x14ac:dyDescent="0.45">
      <c r="A5" s="64"/>
      <c r="B5" s="64">
        <v>1</v>
      </c>
      <c r="C5" s="64" t="s">
        <v>194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PPA5" s="64"/>
    </row>
    <row r="6" spans="1:18 11233:11233" s="65" customFormat="1" ht="14" customHeight="1" x14ac:dyDescent="0.45">
      <c r="A6" s="64"/>
      <c r="B6" s="64">
        <v>2</v>
      </c>
      <c r="C6" s="64" t="s">
        <v>195</v>
      </c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PPA6" s="64"/>
    </row>
    <row r="7" spans="1:18 11233:11233" s="65" customFormat="1" ht="14" customHeight="1" x14ac:dyDescent="0.45">
      <c r="A7" s="64"/>
      <c r="B7" s="64">
        <v>3</v>
      </c>
      <c r="C7" s="64" t="s">
        <v>196</v>
      </c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PPA7" s="64"/>
    </row>
    <row r="8" spans="1:18 11233:11233" s="65" customFormat="1" ht="14" customHeight="1" x14ac:dyDescent="0.45">
      <c r="A8" s="64"/>
      <c r="B8" s="64">
        <v>4</v>
      </c>
      <c r="C8" s="65" t="s">
        <v>200</v>
      </c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PPA8" s="64"/>
    </row>
    <row r="9" spans="1:18 11233:11233" s="65" customFormat="1" ht="14" customHeight="1" x14ac:dyDescent="0.45">
      <c r="A9" s="64"/>
      <c r="B9" s="64">
        <v>5</v>
      </c>
      <c r="C9" s="64" t="s">
        <v>197</v>
      </c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PPA9" s="64"/>
    </row>
    <row r="10" spans="1:18 11233:11233" s="65" customFormat="1" ht="14" customHeight="1" x14ac:dyDescent="0.45">
      <c r="A10" s="64"/>
      <c r="B10" s="64">
        <v>6</v>
      </c>
      <c r="C10" s="64" t="s">
        <v>198</v>
      </c>
      <c r="D10" s="64"/>
      <c r="E10" s="64"/>
      <c r="F10" s="64"/>
      <c r="G10" s="64"/>
      <c r="H10" s="64"/>
      <c r="I10" s="64"/>
      <c r="K10" s="64"/>
      <c r="L10" s="64"/>
      <c r="M10" s="64"/>
      <c r="N10" s="64"/>
      <c r="O10" s="64"/>
      <c r="P10" s="64"/>
      <c r="Q10" s="64"/>
      <c r="R10" s="64"/>
      <c r="PPA10" s="64"/>
    </row>
    <row r="11" spans="1:18 11233:11233" s="65" customFormat="1" ht="13.35" customHeight="1" x14ac:dyDescent="0.7">
      <c r="A11" s="64"/>
      <c r="B11" s="66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PPA11" s="64"/>
    </row>
    <row r="12" spans="1:18 11233:11233" s="65" customFormat="1" ht="11" customHeight="1" x14ac:dyDescent="0.45">
      <c r="A12" s="64"/>
      <c r="B12" s="70"/>
      <c r="C12" s="64"/>
      <c r="D12" s="64" t="s">
        <v>44</v>
      </c>
      <c r="E12" s="64" t="s">
        <v>192</v>
      </c>
      <c r="F12" s="64"/>
      <c r="G12" s="64"/>
      <c r="H12" s="64"/>
      <c r="I12" s="64"/>
      <c r="K12" s="64"/>
      <c r="L12" s="64"/>
      <c r="M12" s="64"/>
      <c r="N12" s="64"/>
      <c r="O12" s="64"/>
      <c r="P12" s="64"/>
      <c r="Q12" s="64"/>
      <c r="R12" s="64"/>
      <c r="PPA12" s="64"/>
    </row>
    <row r="13" spans="1:18 11233:11233" s="65" customFormat="1" ht="11" customHeight="1" x14ac:dyDescent="0.45">
      <c r="A13" s="64"/>
      <c r="B13" s="71"/>
      <c r="C13" s="64"/>
      <c r="D13" s="64" t="s">
        <v>44</v>
      </c>
      <c r="E13" s="64" t="s">
        <v>191</v>
      </c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PPA13" s="64"/>
    </row>
    <row r="14" spans="1:18 11233:11233" s="65" customFormat="1" ht="15.75" customHeight="1" x14ac:dyDescent="0.7">
      <c r="A14" s="64"/>
      <c r="B14" s="66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PPA14" s="64"/>
    </row>
    <row r="15" spans="1:18 11233:11233" s="65" customFormat="1" ht="11.45" hidden="1" customHeight="1" outlineLevel="1" x14ac:dyDescent="0.45">
      <c r="A15" s="64"/>
      <c r="B15" s="68" t="s">
        <v>173</v>
      </c>
      <c r="C15" s="69"/>
      <c r="D15" s="69"/>
      <c r="E15" s="69"/>
      <c r="F15" s="69"/>
      <c r="G15" s="69"/>
      <c r="H15" s="64"/>
      <c r="I15" s="64"/>
      <c r="J15" s="64"/>
      <c r="K15" s="64"/>
      <c r="L15" s="64"/>
      <c r="M15" s="64"/>
      <c r="N15" s="69"/>
      <c r="O15" s="64"/>
      <c r="P15" s="64"/>
      <c r="Q15" s="64"/>
      <c r="R15" s="64"/>
      <c r="PPA15" s="64"/>
    </row>
    <row r="16" spans="1:18 11233:11233" s="65" customFormat="1" hidden="1" outlineLevel="1" x14ac:dyDescent="0.45">
      <c r="A16" s="64"/>
      <c r="B16" s="64"/>
      <c r="C16" s="64"/>
      <c r="D16" s="64"/>
      <c r="E16" s="64" t="s">
        <v>47</v>
      </c>
      <c r="F16" s="64"/>
      <c r="G16" s="72">
        <v>17</v>
      </c>
      <c r="H16" s="64"/>
      <c r="I16" s="64"/>
      <c r="J16" s="64"/>
      <c r="K16" s="64"/>
      <c r="L16" s="64"/>
      <c r="M16" s="64"/>
      <c r="N16" s="73">
        <v>17</v>
      </c>
      <c r="O16" s="64"/>
      <c r="P16" s="64"/>
      <c r="Q16" s="64"/>
      <c r="R16" s="64"/>
      <c r="PPA16" s="64"/>
    </row>
    <row r="17" spans="1:18 11233:11233" s="65" customFormat="1" hidden="1" outlineLevel="1" x14ac:dyDescent="0.45">
      <c r="A17" s="64"/>
      <c r="B17" s="64"/>
      <c r="C17" s="64"/>
      <c r="D17" s="64"/>
      <c r="E17" s="64" t="s">
        <v>209</v>
      </c>
      <c r="F17" s="64"/>
      <c r="G17" s="74">
        <v>9</v>
      </c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PPA17" s="64"/>
    </row>
    <row r="18" spans="1:18 11233:11233" s="65" customFormat="1" hidden="1" outlineLevel="1" x14ac:dyDescent="0.45">
      <c r="A18" s="64"/>
      <c r="B18" s="64"/>
      <c r="C18" s="64"/>
      <c r="D18" s="64"/>
      <c r="E18" s="64" t="s">
        <v>210</v>
      </c>
      <c r="F18" s="64"/>
      <c r="G18" s="57">
        <v>405000</v>
      </c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PPA18" s="64"/>
    </row>
    <row r="19" spans="1:18 11233:11233" s="65" customFormat="1" hidden="1" outlineLevel="1" x14ac:dyDescent="0.45">
      <c r="A19" s="64"/>
      <c r="B19" s="64"/>
      <c r="C19" s="64"/>
      <c r="D19" s="64"/>
      <c r="E19" s="65" t="s">
        <v>211</v>
      </c>
      <c r="F19" s="64"/>
      <c r="G19" s="75">
        <v>0.15</v>
      </c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PPA19" s="64"/>
    </row>
    <row r="20" spans="1:18 11233:11233" s="65" customFormat="1" hidden="1" outlineLevel="1" x14ac:dyDescent="0.45">
      <c r="A20" s="64"/>
      <c r="B20" s="64"/>
      <c r="C20" s="64"/>
      <c r="D20" s="64"/>
      <c r="E20" s="64" t="s">
        <v>212</v>
      </c>
      <c r="F20" s="64"/>
      <c r="G20" s="57">
        <f>G18*(1+G19)</f>
        <v>465749.99999999994</v>
      </c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PPA20" s="64"/>
    </row>
    <row r="21" spans="1:18 11233:11233" s="65" customFormat="1" hidden="1" outlineLevel="1" x14ac:dyDescent="0.45">
      <c r="A21" s="64"/>
      <c r="B21" s="64"/>
      <c r="C21" s="64"/>
      <c r="D21" s="64"/>
      <c r="E21" s="64" t="s">
        <v>41</v>
      </c>
      <c r="F21" s="64"/>
      <c r="G21" s="76">
        <v>0.21</v>
      </c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PPA21" s="64"/>
    </row>
    <row r="22" spans="1:18 11233:11233" s="65" customFormat="1" hidden="1" outlineLevel="1" x14ac:dyDescent="0.45">
      <c r="A22" s="64"/>
      <c r="B22" s="64"/>
      <c r="C22" s="64"/>
      <c r="D22" s="64"/>
      <c r="E22" s="64" t="s">
        <v>50</v>
      </c>
      <c r="F22" s="64"/>
      <c r="G22" s="76">
        <v>0.3</v>
      </c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PPA22" s="64"/>
    </row>
    <row r="23" spans="1:18 11233:11233" s="65" customFormat="1" hidden="1" outlineLevel="1" x14ac:dyDescent="0.45">
      <c r="A23" s="64"/>
      <c r="B23" s="64"/>
      <c r="C23" s="64"/>
      <c r="D23" s="64"/>
      <c r="E23" s="64" t="s">
        <v>51</v>
      </c>
      <c r="F23" s="64"/>
      <c r="G23" s="76">
        <v>0.4</v>
      </c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PPA23" s="64"/>
    </row>
    <row r="24" spans="1:18 11233:11233" s="65" customFormat="1" hidden="1" outlineLevel="1" x14ac:dyDescent="0.45">
      <c r="A24" s="64"/>
      <c r="B24" s="64"/>
      <c r="C24" s="64"/>
      <c r="D24" s="64"/>
      <c r="E24" s="64" t="s">
        <v>213</v>
      </c>
      <c r="F24" s="64"/>
      <c r="G24" s="76">
        <v>0.3</v>
      </c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PPA24" s="64"/>
    </row>
    <row r="25" spans="1:18 11233:11233" s="65" customFormat="1" ht="11.45" hidden="1" customHeight="1" outlineLevel="1" x14ac:dyDescent="0.7">
      <c r="A25" s="64"/>
      <c r="B25" s="66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PPA25" s="64"/>
    </row>
    <row r="26" spans="1:18 11233:11233" s="65" customFormat="1" hidden="1" outlineLevel="1" x14ac:dyDescent="0.45">
      <c r="A26" s="64"/>
      <c r="B26" s="68" t="s">
        <v>193</v>
      </c>
      <c r="C26" s="69"/>
      <c r="D26" s="69"/>
      <c r="E26" s="69"/>
      <c r="F26" s="69"/>
      <c r="G26" s="77" t="s">
        <v>32</v>
      </c>
      <c r="H26" s="77" t="s">
        <v>31</v>
      </c>
      <c r="I26" s="64"/>
      <c r="J26" s="64"/>
      <c r="K26" s="64"/>
      <c r="L26" s="64"/>
      <c r="M26" s="64"/>
      <c r="N26" s="64"/>
      <c r="O26" s="64"/>
      <c r="P26" s="64"/>
      <c r="Q26" s="64"/>
      <c r="R26" s="64"/>
      <c r="PPA26" s="64"/>
    </row>
    <row r="27" spans="1:18 11233:11233" s="65" customFormat="1" hidden="1" outlineLevel="1" x14ac:dyDescent="0.45">
      <c r="A27" s="64"/>
      <c r="B27" s="64"/>
      <c r="C27" s="64"/>
      <c r="D27" s="64"/>
      <c r="E27" s="64" t="s">
        <v>34</v>
      </c>
      <c r="F27" s="64"/>
      <c r="G27" s="78">
        <v>22500</v>
      </c>
      <c r="H27" s="78">
        <v>18600</v>
      </c>
      <c r="I27" s="64"/>
      <c r="J27" s="64"/>
      <c r="K27" s="64"/>
      <c r="L27" s="64"/>
      <c r="M27" s="64"/>
      <c r="N27" s="64"/>
      <c r="O27" s="64"/>
      <c r="P27" s="64"/>
      <c r="Q27" s="64"/>
      <c r="R27" s="64"/>
      <c r="PPA27" s="64"/>
    </row>
    <row r="28" spans="1:18 11233:11233" s="65" customFormat="1" hidden="1" outlineLevel="1" x14ac:dyDescent="0.45">
      <c r="A28" s="64"/>
      <c r="B28" s="64"/>
      <c r="C28" s="64"/>
      <c r="D28" s="64"/>
      <c r="E28" s="64" t="s">
        <v>35</v>
      </c>
      <c r="F28" s="64"/>
      <c r="G28" s="78">
        <v>405000</v>
      </c>
      <c r="H28" s="78">
        <v>405000</v>
      </c>
      <c r="I28" s="64"/>
      <c r="J28" s="64"/>
      <c r="K28" s="64"/>
      <c r="L28" s="64"/>
      <c r="M28" s="64"/>
      <c r="N28" s="64"/>
      <c r="O28" s="64"/>
      <c r="P28" s="64"/>
      <c r="Q28" s="64"/>
      <c r="R28" s="64"/>
      <c r="PPA28" s="64"/>
    </row>
    <row r="29" spans="1:18 11233:11233" s="65" customFormat="1" hidden="1" outlineLevel="1" x14ac:dyDescent="0.45">
      <c r="A29" s="64"/>
      <c r="B29" s="64"/>
      <c r="C29" s="64"/>
      <c r="D29" s="64"/>
      <c r="E29" s="64" t="s">
        <v>33</v>
      </c>
      <c r="F29" s="64"/>
      <c r="G29" s="79">
        <v>0.28999999999999998</v>
      </c>
      <c r="H29" s="79">
        <v>0.21</v>
      </c>
      <c r="I29" s="64"/>
      <c r="J29" s="64"/>
      <c r="K29" s="64"/>
      <c r="L29" s="64"/>
      <c r="M29" s="64"/>
      <c r="N29" s="64"/>
      <c r="O29" s="64"/>
      <c r="P29" s="64"/>
      <c r="Q29" s="64"/>
      <c r="R29" s="64"/>
      <c r="PPA29" s="64"/>
    </row>
    <row r="30" spans="1:18 11233:11233" s="65" customFormat="1" ht="14.85" hidden="1" customHeight="1" outlineLevel="1" x14ac:dyDescent="0.45">
      <c r="A30" s="64"/>
      <c r="B30" s="80"/>
      <c r="C30" s="64"/>
      <c r="D30" s="64"/>
      <c r="E30" s="64"/>
      <c r="F30" s="64"/>
      <c r="G30" s="81"/>
      <c r="H30" s="81"/>
      <c r="I30" s="64"/>
      <c r="J30" s="64"/>
      <c r="K30" s="64"/>
      <c r="L30" s="64"/>
      <c r="M30" s="64"/>
      <c r="N30" s="64"/>
      <c r="O30" s="64"/>
      <c r="P30" s="64"/>
      <c r="Q30" s="64"/>
      <c r="R30" s="64"/>
      <c r="PPA30" s="64"/>
    </row>
    <row r="31" spans="1:18 11233:11233" s="65" customFormat="1" ht="14.85" hidden="1" customHeight="1" outlineLevel="1" x14ac:dyDescent="0.45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PPA31" s="64"/>
    </row>
    <row r="32" spans="1:18 11233:11233" s="65" customFormat="1" collapsed="1" x14ac:dyDescent="0.45">
      <c r="A32" s="64"/>
      <c r="B32" s="68" t="s">
        <v>4</v>
      </c>
      <c r="C32" s="82"/>
      <c r="D32" s="69"/>
      <c r="E32" s="69"/>
      <c r="F32" s="69"/>
      <c r="G32" s="77" t="s">
        <v>5</v>
      </c>
      <c r="H32" s="77" t="s">
        <v>132</v>
      </c>
      <c r="I32" s="77" t="s">
        <v>7</v>
      </c>
      <c r="J32" s="77" t="s">
        <v>131</v>
      </c>
      <c r="K32" s="77" t="s">
        <v>68</v>
      </c>
      <c r="L32" s="83"/>
      <c r="M32" s="64"/>
      <c r="N32" s="84"/>
      <c r="O32" s="84"/>
      <c r="P32" s="84"/>
      <c r="Q32" s="64"/>
      <c r="R32" s="64"/>
    </row>
    <row r="33" spans="1:18" s="65" customFormat="1" x14ac:dyDescent="0.45">
      <c r="A33" s="64"/>
      <c r="B33" s="64"/>
      <c r="C33" s="64"/>
      <c r="D33" s="64"/>
      <c r="E33" s="64" t="s">
        <v>174</v>
      </c>
      <c r="F33" s="64"/>
      <c r="G33" s="58"/>
      <c r="H33" s="63"/>
      <c r="I33" s="62"/>
      <c r="J33" s="63"/>
      <c r="K33" s="85" t="str" cm="1">
        <f t="array" ref="K33">IFERROR(_xlfn.SWITCH(J33,"Sociaal","Sociaal","Betaalbaar","Betaalbaar","Zorg betaalbaar","Betaalbaar","Duur","Duur")," ")</f>
        <v xml:space="preserve"> </v>
      </c>
      <c r="L33" s="86"/>
      <c r="M33" s="87" cm="1">
        <f t="array" ref="M33">IFERROR(_xlfn.IFS(J33="Betaalbaar",IF(I33&gt;$G$18,"Let op, overschrijding",0),J33="Zorg betaalbaar",IF(I33&gt;$G$18*(1+$G$19),"Let op, overschrijding",0)),0)</f>
        <v>0</v>
      </c>
      <c r="N33" s="84"/>
      <c r="O33" s="84"/>
      <c r="P33" s="84"/>
      <c r="Q33" s="64"/>
      <c r="R33" s="64"/>
    </row>
    <row r="34" spans="1:18" s="65" customFormat="1" x14ac:dyDescent="0.45">
      <c r="A34" s="64"/>
      <c r="B34" s="64"/>
      <c r="C34" s="64"/>
      <c r="D34" s="64"/>
      <c r="E34" s="64" t="s">
        <v>175</v>
      </c>
      <c r="F34" s="64"/>
      <c r="G34" s="58"/>
      <c r="H34" s="63"/>
      <c r="I34" s="62"/>
      <c r="J34" s="63"/>
      <c r="K34" s="85" t="str" cm="1">
        <f t="array" ref="K34">IFERROR(_xlfn.SWITCH(J34,"Sociaal","Sociaal","Betaalbaar","Betaalbaar","Zorg betaalbaar","Betaalbaar","Duur","Duur")," ")</f>
        <v xml:space="preserve"> </v>
      </c>
      <c r="L34" s="85"/>
      <c r="M34" s="87" cm="1">
        <f t="array" ref="M34">IFERROR(_xlfn.IFS(J34="Betaalbaar",IF(I34&gt;$G$18,"Let op, overschrijding",0),J34="Zorg betaalbaar",IF(I34&gt;$G$18*(1+$G$19),"Let op, overschrijding",0)),0)</f>
        <v>0</v>
      </c>
      <c r="N34" s="84"/>
      <c r="O34" s="84"/>
      <c r="P34" s="84"/>
      <c r="Q34" s="64"/>
      <c r="R34" s="64"/>
    </row>
    <row r="35" spans="1:18" s="65" customFormat="1" x14ac:dyDescent="0.45">
      <c r="A35" s="64"/>
      <c r="B35" s="64"/>
      <c r="C35" s="64"/>
      <c r="D35" s="64"/>
      <c r="E35" s="64" t="s">
        <v>176</v>
      </c>
      <c r="F35" s="64"/>
      <c r="G35" s="58"/>
      <c r="H35" s="63"/>
      <c r="I35" s="62"/>
      <c r="J35" s="63"/>
      <c r="K35" s="85" t="str" cm="1">
        <f t="array" ref="K35">IFERROR(_xlfn.SWITCH(J35,"Sociaal","Sociaal","Betaalbaar","Betaalbaar","Zorg betaalbaar","Betaalbaar","Duur","Duur")," ")</f>
        <v xml:space="preserve"> </v>
      </c>
      <c r="L35" s="85"/>
      <c r="M35" s="87" cm="1">
        <f t="array" ref="M35">IFERROR(_xlfn.IFS(J35="Betaalbaar",IF(I35&gt;$G$18,"Let op, overschrijding",0),J35="Zorg betaalbaar",IF(I35&gt;$G$18*(1+$G$19),"Let op, overschrijding",0)),0)</f>
        <v>0</v>
      </c>
      <c r="N35" s="84" t="str">
        <f>IF(AND(G35&gt;0,ISBLANK(H35)),"Fout","")</f>
        <v/>
      </c>
      <c r="O35" s="84"/>
      <c r="P35" s="84"/>
      <c r="Q35" s="64"/>
      <c r="R35" s="64"/>
    </row>
    <row r="36" spans="1:18" s="65" customFormat="1" x14ac:dyDescent="0.45">
      <c r="A36" s="64"/>
      <c r="B36" s="64"/>
      <c r="C36" s="64"/>
      <c r="D36" s="64"/>
      <c r="E36" s="64" t="s">
        <v>177</v>
      </c>
      <c r="F36" s="64"/>
      <c r="G36" s="58"/>
      <c r="H36" s="63"/>
      <c r="I36" s="62"/>
      <c r="J36" s="63"/>
      <c r="K36" s="85" t="str" cm="1">
        <f t="array" ref="K36">IFERROR(_xlfn.SWITCH(J36,"Sociaal","Sociaal","Betaalbaar","Betaalbaar","Zorg betaalbaar","Betaalbaar","Duur","Duur")," ")</f>
        <v xml:space="preserve"> </v>
      </c>
      <c r="L36" s="85"/>
      <c r="M36" s="87" cm="1">
        <f t="array" ref="M36">IFERROR(_xlfn.IFS(J36="Betaalbaar",IF(I36&gt;$G$18,"Let op, overschrijding",0),J36="Zorg betaalbaar",IF(I36&gt;$G$18*(1+$G$19),"Let op, overschrijding",0)),0)</f>
        <v>0</v>
      </c>
      <c r="N36" s="84" t="str">
        <f t="shared" ref="N36:N40" si="0">IF(AND(G36&gt;0,ISBLANK(H36)),"Fout","")</f>
        <v/>
      </c>
      <c r="O36" s="64"/>
      <c r="P36" s="64"/>
      <c r="Q36" s="64"/>
      <c r="R36" s="64"/>
    </row>
    <row r="37" spans="1:18" s="65" customFormat="1" x14ac:dyDescent="0.45">
      <c r="A37" s="64"/>
      <c r="B37" s="64"/>
      <c r="C37" s="64"/>
      <c r="D37" s="64"/>
      <c r="E37" s="64" t="s">
        <v>178</v>
      </c>
      <c r="F37" s="64"/>
      <c r="G37" s="58"/>
      <c r="H37" s="63"/>
      <c r="I37" s="62"/>
      <c r="J37" s="63"/>
      <c r="K37" s="85" t="str" cm="1">
        <f t="array" ref="K37">IFERROR(_xlfn.SWITCH(J37,"Sociaal","Sociaal","Betaalbaar","Betaalbaar","Zorg betaalbaar","Betaalbaar","Duur","Duur")," ")</f>
        <v xml:space="preserve"> </v>
      </c>
      <c r="L37" s="85"/>
      <c r="M37" s="87" cm="1">
        <f t="array" ref="M37">IFERROR(_xlfn.IFS(J37="Betaalbaar",IF(I37&gt;$G$18,"Let op, overschrijding",0),J37="Zorg betaalbaar",IF(I37&gt;$G$18*(1+$G$19),"Let op, overschrijding",0)),0)</f>
        <v>0</v>
      </c>
      <c r="N37" s="84" t="str">
        <f t="shared" si="0"/>
        <v/>
      </c>
      <c r="O37" s="64"/>
      <c r="P37" s="64"/>
      <c r="Q37" s="64"/>
      <c r="R37" s="64"/>
    </row>
    <row r="38" spans="1:18" s="65" customFormat="1" x14ac:dyDescent="0.45">
      <c r="A38" s="64"/>
      <c r="B38" s="64"/>
      <c r="C38" s="64"/>
      <c r="D38" s="64"/>
      <c r="E38" s="64" t="s">
        <v>179</v>
      </c>
      <c r="F38" s="64"/>
      <c r="G38" s="58"/>
      <c r="H38" s="63"/>
      <c r="I38" s="62"/>
      <c r="J38" s="63"/>
      <c r="K38" s="85" t="str" cm="1">
        <f t="array" ref="K38">IFERROR(_xlfn.SWITCH(J38,"Sociaal","Sociaal","Betaalbaar","Betaalbaar","Zorg betaalbaar","Betaalbaar","Duur","Duur")," ")</f>
        <v xml:space="preserve"> </v>
      </c>
      <c r="L38" s="85"/>
      <c r="M38" s="87" cm="1">
        <f t="array" ref="M38">IFERROR(_xlfn.IFS(J38="Betaalbaar",IF(I38&gt;$G$18,"Let op, overschrijding",0),J38="Zorg betaalbaar",IF(I38&gt;$G$18*(1+$G$19),"Let op, overschrijding",0)),0)</f>
        <v>0</v>
      </c>
      <c r="N38" s="84" t="str">
        <f t="shared" si="0"/>
        <v/>
      </c>
      <c r="O38" s="64"/>
      <c r="P38" s="64"/>
      <c r="Q38" s="64"/>
      <c r="R38" s="64"/>
    </row>
    <row r="39" spans="1:18" s="65" customFormat="1" x14ac:dyDescent="0.45">
      <c r="A39" s="64"/>
      <c r="B39" s="64"/>
      <c r="C39" s="64"/>
      <c r="D39" s="64"/>
      <c r="E39" s="64" t="s">
        <v>180</v>
      </c>
      <c r="F39" s="64"/>
      <c r="G39" s="58"/>
      <c r="H39" s="63"/>
      <c r="I39" s="62"/>
      <c r="J39" s="63"/>
      <c r="K39" s="85" t="str" cm="1">
        <f t="array" ref="K39">IFERROR(_xlfn.SWITCH(J39,"Sociaal","Sociaal","Betaalbaar","Betaalbaar","Zorg betaalbaar","Betaalbaar","Duur","Duur")," ")</f>
        <v xml:space="preserve"> </v>
      </c>
      <c r="L39" s="85"/>
      <c r="M39" s="87" cm="1">
        <f t="array" ref="M39">IFERROR(_xlfn.IFS(J39="Betaalbaar",IF(I39&gt;$G$18,"Let op, overschrijding",0),J39="Zorg betaalbaar",IF(I39&gt;$G$18*(1+$G$19),"Let op, overschrijding",0)),0)</f>
        <v>0</v>
      </c>
      <c r="N39" s="84" t="str">
        <f t="shared" si="0"/>
        <v/>
      </c>
      <c r="O39" s="64"/>
      <c r="P39" s="64"/>
      <c r="Q39" s="64"/>
      <c r="R39" s="64"/>
    </row>
    <row r="40" spans="1:18" s="65" customFormat="1" x14ac:dyDescent="0.45">
      <c r="A40" s="64"/>
      <c r="B40" s="64"/>
      <c r="C40" s="64"/>
      <c r="D40" s="64"/>
      <c r="E40" s="64" t="s">
        <v>181</v>
      </c>
      <c r="F40" s="64"/>
      <c r="G40" s="58"/>
      <c r="H40" s="63"/>
      <c r="I40" s="62"/>
      <c r="J40" s="63"/>
      <c r="K40" s="85" t="str" cm="1">
        <f t="array" ref="K40">IFERROR(_xlfn.SWITCH(J40,"Sociaal","Sociaal","Betaalbaar","Betaalbaar","Zorg betaalbaar","Betaalbaar","Duur","Duur")," ")</f>
        <v xml:space="preserve"> </v>
      </c>
      <c r="L40" s="85"/>
      <c r="M40" s="87" cm="1">
        <f t="array" ref="M40">IFERROR(_xlfn.IFS(J40="Betaalbaar",IF(I40&gt;$G$18,"Let op, overschrijding",0),J40="Zorg betaalbaar",IF(I40&gt;$G$18*(1+$G$19),"Let op, overschrijding",0)),0)</f>
        <v>0</v>
      </c>
      <c r="N40" s="84" t="str">
        <f t="shared" si="0"/>
        <v/>
      </c>
      <c r="O40" s="64"/>
      <c r="P40" s="64"/>
      <c r="Q40" s="64"/>
      <c r="R40" s="64"/>
    </row>
    <row r="41" spans="1:18" s="65" customFormat="1" x14ac:dyDescent="0.45">
      <c r="A41" s="64"/>
      <c r="B41" s="64"/>
      <c r="C41" s="64"/>
      <c r="D41" s="64"/>
      <c r="E41" s="64" t="s">
        <v>182</v>
      </c>
      <c r="F41" s="64"/>
      <c r="G41" s="58"/>
      <c r="H41" s="63"/>
      <c r="I41" s="60"/>
      <c r="J41" s="63"/>
      <c r="K41" s="85" t="str" cm="1">
        <f t="array" ref="K41">IFERROR(_xlfn.SWITCH(J41,"Sociaal","Sociaal","Betaalbaar","Betaalbaar","Zorg betaalbaar","Betaalbaar","Duur","Duur")," ")</f>
        <v xml:space="preserve"> </v>
      </c>
      <c r="L41" s="85"/>
      <c r="M41" s="87" cm="1">
        <f t="array" ref="M41">IFERROR(_xlfn.IFS(J41="Betaalbaar",IF(I41&gt;$G$18,"Let op, overschrijding",0),J41="Zorg betaalbaar",IF(I41&gt;$G$18*(1+$G$19),"Let op, overschrijding",0)),0)</f>
        <v>0</v>
      </c>
      <c r="N41" s="64"/>
      <c r="O41" s="64"/>
      <c r="P41" s="64"/>
      <c r="Q41" s="64"/>
      <c r="R41" s="64"/>
    </row>
    <row r="42" spans="1:18" s="65" customFormat="1" x14ac:dyDescent="0.45">
      <c r="A42" s="64"/>
      <c r="B42" s="64"/>
      <c r="C42" s="64"/>
      <c r="D42" s="64"/>
      <c r="E42" s="64" t="s">
        <v>183</v>
      </c>
      <c r="F42" s="64"/>
      <c r="G42" s="58"/>
      <c r="H42" s="63"/>
      <c r="I42" s="60"/>
      <c r="J42" s="63"/>
      <c r="K42" s="85" t="str" cm="1">
        <f t="array" ref="K42">IFERROR(_xlfn.SWITCH(J42,"Sociaal","Sociaal","Betaalbaar","Betaalbaar","Zorg betaalbaar","Betaalbaar","Duur","Duur")," ")</f>
        <v xml:space="preserve"> </v>
      </c>
      <c r="L42" s="85"/>
      <c r="M42" s="87" cm="1">
        <f t="array" ref="M42">IFERROR(_xlfn.IFS(J42="Betaalbaar",IF(I42&gt;$G$18,"Let op, overschrijding",0),J42="Zorg betaalbaar",IF(I42&gt;$G$18*(1+$G$19),"Let op, overschrijding",0)),0)</f>
        <v>0</v>
      </c>
      <c r="N42" s="64"/>
      <c r="O42" s="64"/>
      <c r="P42" s="64"/>
      <c r="Q42" s="64"/>
      <c r="R42" s="64"/>
    </row>
    <row r="43" spans="1:18" s="65" customFormat="1" x14ac:dyDescent="0.45">
      <c r="A43" s="64"/>
      <c r="B43" s="64"/>
      <c r="C43" s="64"/>
      <c r="D43" s="64"/>
      <c r="E43" s="64" t="s">
        <v>184</v>
      </c>
      <c r="F43" s="64"/>
      <c r="G43" s="58"/>
      <c r="H43" s="63"/>
      <c r="I43" s="60"/>
      <c r="J43" s="63"/>
      <c r="K43" s="85" t="str" cm="1">
        <f t="array" ref="K43">IFERROR(_xlfn.SWITCH(J43,"Sociaal","Sociaal","Betaalbaar","Betaalbaar","Zorg betaalbaar","Betaalbaar","Duur","Duur")," ")</f>
        <v xml:space="preserve"> </v>
      </c>
      <c r="L43" s="85"/>
      <c r="M43" s="87" cm="1">
        <f t="array" ref="M43">IFERROR(_xlfn.IFS(J43="Betaalbaar",IF(I43&gt;$G$18,"Let op, overschrijding",0),J43="Zorg betaalbaar",IF(I43&gt;$G$18*(1+$G$19),"Let op, overschrijding",0)),0)</f>
        <v>0</v>
      </c>
      <c r="N43" s="64"/>
      <c r="O43" s="64"/>
      <c r="P43" s="64"/>
      <c r="Q43" s="64"/>
      <c r="R43" s="64"/>
    </row>
    <row r="44" spans="1:18" s="65" customFormat="1" x14ac:dyDescent="0.45">
      <c r="A44" s="64"/>
      <c r="B44" s="64"/>
      <c r="C44" s="64"/>
      <c r="D44" s="64"/>
      <c r="E44" s="64" t="s">
        <v>185</v>
      </c>
      <c r="F44" s="64"/>
      <c r="G44" s="58"/>
      <c r="H44" s="63"/>
      <c r="I44" s="60"/>
      <c r="J44" s="63"/>
      <c r="K44" s="85" t="str" cm="1">
        <f t="array" ref="K44">IFERROR(_xlfn.SWITCH(J44,"Sociaal","Sociaal","Betaalbaar","Betaalbaar","Zorg betaalbaar","Betaalbaar","Duur","Duur")," ")</f>
        <v xml:space="preserve"> </v>
      </c>
      <c r="L44" s="85"/>
      <c r="M44" s="87" cm="1">
        <f t="array" ref="M44">IFERROR(_xlfn.IFS(J44="Betaalbaar",IF(I44&gt;$G$18,"Let op, overschrijding",0),J44="Zorg betaalbaar",IF(I44&gt;$G$18*(1+$G$19),"Let op, overschrijding",0)),0)</f>
        <v>0</v>
      </c>
      <c r="N44" s="64"/>
      <c r="O44" s="64"/>
      <c r="P44" s="64"/>
      <c r="Q44" s="64"/>
      <c r="R44" s="64"/>
    </row>
    <row r="45" spans="1:18" s="65" customFormat="1" x14ac:dyDescent="0.45">
      <c r="A45" s="64"/>
      <c r="B45" s="64"/>
      <c r="C45" s="64"/>
      <c r="D45" s="64"/>
      <c r="E45" s="64" t="s">
        <v>186</v>
      </c>
      <c r="F45" s="64"/>
      <c r="G45" s="58"/>
      <c r="H45" s="63"/>
      <c r="I45" s="60"/>
      <c r="J45" s="63"/>
      <c r="K45" s="85" t="str" cm="1">
        <f t="array" ref="K45">IFERROR(_xlfn.SWITCH(J45,"Sociaal","Sociaal","Betaalbaar","Betaalbaar","Zorg betaalbaar","Betaalbaar","Duur","Duur")," ")</f>
        <v xml:space="preserve"> </v>
      </c>
      <c r="L45" s="85"/>
      <c r="M45" s="87" cm="1">
        <f t="array" ref="M45">IFERROR(_xlfn.IFS(J45="Betaalbaar",IF(I45&gt;$G$18,"Let op, overschrijding",0),J45="Zorg betaalbaar",IF(I45&gt;$G$18*(1+$G$19),"Let op, overschrijding",0)),0)</f>
        <v>0</v>
      </c>
      <c r="N45" s="64"/>
      <c r="O45" s="64"/>
      <c r="P45" s="64"/>
      <c r="Q45" s="64"/>
      <c r="R45" s="64"/>
    </row>
    <row r="46" spans="1:18" s="65" customFormat="1" x14ac:dyDescent="0.45">
      <c r="A46" s="64"/>
      <c r="B46" s="64"/>
      <c r="C46" s="64"/>
      <c r="D46" s="64"/>
      <c r="E46" s="64" t="s">
        <v>187</v>
      </c>
      <c r="F46" s="64"/>
      <c r="G46" s="58"/>
      <c r="H46" s="63"/>
      <c r="I46" s="60"/>
      <c r="J46" s="63"/>
      <c r="K46" s="85" t="str" cm="1">
        <f t="array" ref="K46">IFERROR(_xlfn.SWITCH(J46,"Sociaal","Sociaal","Betaalbaar","Betaalbaar","Zorg betaalbaar","Betaalbaar","Duur","Duur")," ")</f>
        <v xml:space="preserve"> </v>
      </c>
      <c r="L46" s="85"/>
      <c r="M46" s="87" cm="1">
        <f t="array" ref="M46">IFERROR(_xlfn.IFS(J46="Betaalbaar",IF(I46&gt;$G$18,"Let op, overschrijding",0),J46="Zorg betaalbaar",IF(I46&gt;$G$18*(1+$G$19),"Let op, overschrijding",0)),0)</f>
        <v>0</v>
      </c>
      <c r="N46" s="64"/>
      <c r="O46" s="64"/>
      <c r="P46" s="64"/>
      <c r="Q46" s="64"/>
      <c r="R46" s="64"/>
    </row>
    <row r="47" spans="1:18" s="65" customFormat="1" x14ac:dyDescent="0.45">
      <c r="A47" s="64"/>
      <c r="B47" s="64"/>
      <c r="C47" s="64"/>
      <c r="D47" s="64"/>
      <c r="E47" s="64" t="s">
        <v>188</v>
      </c>
      <c r="F47" s="64"/>
      <c r="G47" s="58"/>
      <c r="H47" s="63"/>
      <c r="I47" s="60"/>
      <c r="J47" s="63"/>
      <c r="K47" s="85" t="str" cm="1">
        <f t="array" ref="K47">IFERROR(_xlfn.SWITCH(J47,"Sociaal","Sociaal","Betaalbaar","Betaalbaar","Zorg betaalbaar","Betaalbaar","Duur","Duur")," ")</f>
        <v xml:space="preserve"> </v>
      </c>
      <c r="L47" s="85"/>
      <c r="M47" s="87" cm="1">
        <f t="array" ref="M47">IFERROR(_xlfn.IFS(J47="Betaalbaar",IF(I47&gt;$G$18,"Let op, overschrijding",0),J47="Zorg betaalbaar",IF(I47&gt;$G$18*(1+$G$19),"Let op, overschrijding",0)),0)</f>
        <v>0</v>
      </c>
      <c r="N47" s="64"/>
      <c r="O47" s="64"/>
      <c r="P47" s="64"/>
      <c r="Q47" s="64"/>
      <c r="R47" s="64"/>
    </row>
    <row r="48" spans="1:18" s="65" customFormat="1" x14ac:dyDescent="0.45">
      <c r="A48" s="64"/>
      <c r="B48" s="64"/>
      <c r="C48" s="64"/>
      <c r="D48" s="64"/>
      <c r="E48" s="64" t="s">
        <v>189</v>
      </c>
      <c r="F48" s="64"/>
      <c r="G48" s="58"/>
      <c r="H48" s="63"/>
      <c r="I48" s="60"/>
      <c r="J48" s="63"/>
      <c r="K48" s="85" t="str" cm="1">
        <f t="array" ref="K48">IFERROR(_xlfn.SWITCH(J48,"Sociaal","Sociaal","Betaalbaar","Betaalbaar","Zorg betaalbaar","Betaalbaar","Duur","Duur")," ")</f>
        <v xml:space="preserve"> </v>
      </c>
      <c r="L48" s="85"/>
      <c r="M48" s="87" cm="1">
        <f t="array" ref="M48">IFERROR(_xlfn.IFS(J48="Betaalbaar",IF(I48&gt;$G$18,"Let op, overschrijding",0),J48="Zorg betaalbaar",IF(I48&gt;$G$18*(1+$G$19),"Let op, overschrijding",0)),0)</f>
        <v>0</v>
      </c>
      <c r="N48" s="64"/>
      <c r="O48" s="64"/>
      <c r="P48" s="64"/>
      <c r="Q48" s="64"/>
      <c r="R48" s="64"/>
    </row>
    <row r="49" spans="1:18" s="65" customFormat="1" x14ac:dyDescent="0.45">
      <c r="A49" s="64"/>
      <c r="B49" s="64"/>
      <c r="C49" s="64"/>
      <c r="D49" s="64"/>
      <c r="E49" s="64" t="s">
        <v>190</v>
      </c>
      <c r="F49" s="64"/>
      <c r="G49" s="59"/>
      <c r="H49" s="181"/>
      <c r="I49" s="61"/>
      <c r="J49" s="181"/>
      <c r="K49" s="85" t="str" cm="1">
        <f t="array" ref="K49">IFERROR(_xlfn.SWITCH(J49,"Sociaal","Sociaal","Betaalbaar","Betaalbaar","Zorg betaalbaar","Betaalbaar","Duur","Duur")," ")</f>
        <v xml:space="preserve"> </v>
      </c>
      <c r="L49" s="85"/>
      <c r="M49" s="87" cm="1">
        <f t="array" ref="M49">IFERROR(_xlfn.IFS(J49="Betaalbaar",IF(I49&gt;$G$18,"Let op, overschrijding",0),J49="Zorg betaalbaar",IF(I49&gt;$G$18*(1+$G$19),"Let op, overschrijding",0)),0)</f>
        <v>0</v>
      </c>
      <c r="N49" s="64"/>
      <c r="O49" s="64"/>
      <c r="P49" s="64"/>
      <c r="Q49" s="64"/>
      <c r="R49" s="64"/>
    </row>
    <row r="50" spans="1:18" s="65" customFormat="1" x14ac:dyDescent="0.45">
      <c r="A50" s="64"/>
      <c r="B50" s="64"/>
      <c r="C50" s="64"/>
      <c r="D50" s="88" t="s">
        <v>29</v>
      </c>
      <c r="E50" s="88"/>
      <c r="F50" s="88"/>
      <c r="G50" s="88"/>
      <c r="H50" s="88"/>
      <c r="I50" s="88"/>
      <c r="J50" s="88"/>
      <c r="K50" s="89">
        <f>SUM(G33:G49)</f>
        <v>0</v>
      </c>
      <c r="L50" s="90"/>
      <c r="M50" s="64" t="s">
        <v>30</v>
      </c>
      <c r="N50" s="64"/>
      <c r="O50" s="64"/>
      <c r="P50" s="64"/>
      <c r="Q50" s="91" t="str">
        <f>IF(K50&gt;Vereveningsfonds!G16, "Foutieve invoer", "")</f>
        <v/>
      </c>
      <c r="R50" s="64"/>
    </row>
    <row r="51" spans="1:18" s="65" customFormat="1" hidden="1" outlineLevel="1" x14ac:dyDescent="0.45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90"/>
      <c r="L51" s="90"/>
      <c r="M51" s="64"/>
      <c r="N51" s="64"/>
      <c r="O51" s="64"/>
      <c r="P51" s="64"/>
      <c r="Q51" s="64"/>
      <c r="R51" s="64"/>
    </row>
    <row r="52" spans="1:18" s="65" customFormat="1" hidden="1" outlineLevel="1" x14ac:dyDescent="0.45">
      <c r="A52" s="64"/>
      <c r="B52" s="68" t="s">
        <v>199</v>
      </c>
      <c r="C52" s="69"/>
      <c r="D52" s="69"/>
      <c r="E52" s="69"/>
      <c r="F52" s="69"/>
      <c r="G52" s="77" t="s">
        <v>5</v>
      </c>
      <c r="H52" s="77" t="s">
        <v>57</v>
      </c>
      <c r="I52" s="77" t="s">
        <v>58</v>
      </c>
      <c r="J52" s="77" t="s">
        <v>56</v>
      </c>
      <c r="K52" s="77" t="s">
        <v>142</v>
      </c>
      <c r="L52" s="77"/>
      <c r="M52" s="77" t="s">
        <v>143</v>
      </c>
      <c r="N52" s="64"/>
      <c r="O52" s="64"/>
      <c r="P52" s="64"/>
      <c r="Q52" s="64"/>
      <c r="R52" s="64"/>
    </row>
    <row r="53" spans="1:18" s="65" customFormat="1" hidden="1" outlineLevel="1" x14ac:dyDescent="0.45">
      <c r="A53" s="64"/>
      <c r="B53" s="64"/>
      <c r="C53" s="64"/>
      <c r="D53" s="92" t="s">
        <v>0</v>
      </c>
      <c r="E53" s="92"/>
      <c r="F53" s="92"/>
      <c r="G53" s="92">
        <f>SUMIF($K$33:$K$49,D53,$G$33:$G$49)</f>
        <v>0</v>
      </c>
      <c r="H53" s="93" t="e">
        <f>SUMIF($K$33:$K$49,D53,$G$33:$G$49)/$K$50</f>
        <v>#DIV/0!</v>
      </c>
      <c r="I53" s="94"/>
      <c r="J53" s="93">
        <f>Vereveningsfonds!G22</f>
        <v>0.3</v>
      </c>
      <c r="K53" s="95" t="e">
        <f>+H53-J53</f>
        <v>#DIV/0!</v>
      </c>
      <c r="L53" s="95"/>
      <c r="M53" s="96" t="e">
        <f>K53*$K$50</f>
        <v>#DIV/0!</v>
      </c>
      <c r="N53" s="64"/>
      <c r="O53" s="64"/>
      <c r="P53" s="64"/>
      <c r="Q53" s="64"/>
      <c r="R53" s="64"/>
    </row>
    <row r="54" spans="1:18" s="65" customFormat="1" hidden="1" outlineLevel="1" x14ac:dyDescent="0.45">
      <c r="A54" s="64"/>
      <c r="B54" s="64"/>
      <c r="C54" s="64"/>
      <c r="D54" s="64"/>
      <c r="E54" s="97" t="s">
        <v>11</v>
      </c>
      <c r="F54" s="64"/>
      <c r="G54" s="98">
        <f>SUMIFS($G$33:$G$49,$K$33:$K$49,D53,$H$33:$H$49,E54)</f>
        <v>0</v>
      </c>
      <c r="H54" s="99">
        <f>IFERROR(SUMIFS($G$33:$G$49,$K$33:$K$49,$D$53,$H$33:$H$49,E54)/$G$53,0%)</f>
        <v>0</v>
      </c>
      <c r="I54" s="100" cm="1">
        <f t="array" ref="I54">IFERROR(
  SUMPRODUCT(($K$33:$K$49=D53)*($H$33:$H$49=E54)*$G$33:$G$49*$I$33:$I$49) /
  SUMIFS($G$33:$G$49, $K$33:$K$49, D53, $H$33:$H$49, E54),
  0
)</f>
        <v>0</v>
      </c>
      <c r="J54" s="98"/>
      <c r="K54" s="90"/>
      <c r="L54" s="90"/>
      <c r="M54" s="96"/>
      <c r="N54" s="101"/>
      <c r="O54" s="101"/>
      <c r="P54" s="101"/>
      <c r="Q54" s="64"/>
      <c r="R54" s="64"/>
    </row>
    <row r="55" spans="1:18" s="65" customFormat="1" hidden="1" outlineLevel="1" x14ac:dyDescent="0.45">
      <c r="A55" s="64"/>
      <c r="B55" s="64"/>
      <c r="C55" s="64"/>
      <c r="D55" s="64"/>
      <c r="E55" s="97" t="s">
        <v>52</v>
      </c>
      <c r="F55" s="64"/>
      <c r="G55" s="98">
        <f>SUMIFS($G$33:$G$49,$K$33:$K$49,D53,$H$33:$H$49,E55)</f>
        <v>0</v>
      </c>
      <c r="H55" s="99">
        <f>IFERROR(SUMIFS($G$33:$G$49,$K$33:$K$49,$D$53,$H$33:$H$49,E55)/$G$53,0%)</f>
        <v>0</v>
      </c>
      <c r="I55" s="100" cm="1">
        <f t="array" ref="I55">IFERROR(
  SUMPRODUCT(($K$33:$K$49=D53)*($H$33:$H$49=E55)*$G$33:$G$49*$I$33:$I$49) /
  SUMIFS($G$33:$G$49, $K$33:$K$49, D53, $H$33:$H$49, E55),
  0
)</f>
        <v>0</v>
      </c>
      <c r="J55" s="98"/>
      <c r="K55" s="90"/>
      <c r="L55" s="90"/>
      <c r="M55" s="96" t="str">
        <f>IF(I55&gt;0.1,"Let op, foutieve waarde","")</f>
        <v/>
      </c>
      <c r="N55" s="64"/>
      <c r="O55" s="64"/>
      <c r="P55" s="64"/>
      <c r="Q55" s="64"/>
      <c r="R55" s="64"/>
    </row>
    <row r="56" spans="1:18" s="65" customFormat="1" hidden="1" outlineLevel="1" x14ac:dyDescent="0.45">
      <c r="A56" s="64"/>
      <c r="B56" s="64"/>
      <c r="C56" s="64"/>
      <c r="D56" s="92" t="s">
        <v>203</v>
      </c>
      <c r="E56" s="92"/>
      <c r="F56" s="92"/>
      <c r="G56" s="92">
        <f>SUMIF($K$33:$K$49,D56,$G$33:$G$49)</f>
        <v>0</v>
      </c>
      <c r="H56" s="93" t="e">
        <f>SUMIF($K$33:$K$49,D56,$G$33:$G$49)/$K$50</f>
        <v>#DIV/0!</v>
      </c>
      <c r="I56" s="94"/>
      <c r="J56" s="93">
        <f>Vereveningsfonds!G23</f>
        <v>0.4</v>
      </c>
      <c r="K56" s="95" t="e">
        <f>+H56-J56</f>
        <v>#DIV/0!</v>
      </c>
      <c r="L56" s="95"/>
      <c r="M56" s="96" t="e">
        <f>K56*$K$50</f>
        <v>#DIV/0!</v>
      </c>
      <c r="N56" s="64"/>
      <c r="O56" s="64"/>
      <c r="P56" s="64"/>
      <c r="Q56" s="64"/>
      <c r="R56" s="64"/>
    </row>
    <row r="57" spans="1:18" s="65" customFormat="1" hidden="1" outlineLevel="1" x14ac:dyDescent="0.45">
      <c r="A57" s="64"/>
      <c r="B57" s="64"/>
      <c r="C57" s="102"/>
      <c r="D57" s="64"/>
      <c r="E57" s="97" t="s">
        <v>11</v>
      </c>
      <c r="F57" s="64"/>
      <c r="G57" s="98">
        <f>SUMIFS($G$33:$G$49,$K$33:$K$49,D56,$H$33:$H$49,E57)</f>
        <v>0</v>
      </c>
      <c r="H57" s="99">
        <f>IFERROR(SUMIFS($G$33:$G$49,$K$33:$K$49,$D$56,$H$33:$H$49,E57)/$G$56,0%)</f>
        <v>0</v>
      </c>
      <c r="I57" s="100" cm="1">
        <f t="array" ref="I57">IFERROR(
  SUMPRODUCT(($K$33:$K$49=D56)*($H$33:$H$49=E57)*$G$33:$G$49*$I$33:$I$49) /
  SUMIFS($G$33:$G$49, $K$33:$K$49, D56, $H$33:$H$49, E57),
  0
)</f>
        <v>0</v>
      </c>
      <c r="J57" s="98"/>
      <c r="K57" s="90"/>
      <c r="L57" s="90"/>
      <c r="M57" s="96"/>
      <c r="N57" s="64"/>
      <c r="O57" s="64"/>
      <c r="P57" s="64"/>
      <c r="Q57" s="64"/>
      <c r="R57" s="64"/>
    </row>
    <row r="58" spans="1:18" s="65" customFormat="1" hidden="1" outlineLevel="1" x14ac:dyDescent="0.45">
      <c r="A58" s="64"/>
      <c r="B58" s="64"/>
      <c r="C58" s="102"/>
      <c r="D58" s="64"/>
      <c r="E58" s="97" t="s">
        <v>52</v>
      </c>
      <c r="F58" s="64"/>
      <c r="G58" s="98">
        <f>SUMIFS($G$33:$G$49,$K$33:$K$49,D56,$H$33:$H$49,E58)</f>
        <v>0</v>
      </c>
      <c r="H58" s="99">
        <f>IFERROR(SUMIFS($G$33:$G$49,$K$33:$K$49,$D$56,$H$33:$H$49,E58)/$G$56,0%)</f>
        <v>0</v>
      </c>
      <c r="I58" s="100" cm="1">
        <f t="array" ref="I58">IFERROR(
  SUMPRODUCT(($K$33:$K$49=D56)*($H$33:$H$49=E58)*$G$33:$G$49*$I$33:$I$49) /
  SUMIFS($G$33:$G$49, $K$33:$K$49, D56, $H$33:$H$49, E58),
  0
)</f>
        <v>0</v>
      </c>
      <c r="J58" s="98"/>
      <c r="K58" s="90"/>
      <c r="L58" s="90"/>
      <c r="M58" s="96"/>
      <c r="N58" s="64"/>
      <c r="O58" s="64"/>
      <c r="P58" s="64"/>
      <c r="Q58" s="64"/>
      <c r="R58" s="64"/>
    </row>
    <row r="59" spans="1:18" s="65" customFormat="1" hidden="1" outlineLevel="1" x14ac:dyDescent="0.45">
      <c r="A59" s="64"/>
      <c r="B59" s="64"/>
      <c r="C59" s="64"/>
      <c r="D59" s="92" t="s">
        <v>204</v>
      </c>
      <c r="E59" s="92"/>
      <c r="F59" s="92"/>
      <c r="G59" s="92">
        <f>SUMIF($K$33:$K$49,D59,$G$33:$G$49)</f>
        <v>0</v>
      </c>
      <c r="H59" s="93" t="e">
        <f>SUMIF($K$33:$K$49,D59,$G$33:$G$49)/$K$50</f>
        <v>#DIV/0!</v>
      </c>
      <c r="I59" s="94"/>
      <c r="J59" s="93">
        <f>Vereveningsfonds!G24</f>
        <v>0.3</v>
      </c>
      <c r="K59" s="95" t="e">
        <f>+H59-J59</f>
        <v>#DIV/0!</v>
      </c>
      <c r="L59" s="95"/>
      <c r="M59" s="96" t="e">
        <f>K59*$K$50</f>
        <v>#DIV/0!</v>
      </c>
      <c r="N59" s="64"/>
      <c r="O59" s="64"/>
      <c r="P59" s="64"/>
      <c r="Q59" s="64"/>
      <c r="R59" s="64"/>
    </row>
    <row r="60" spans="1:18" s="65" customFormat="1" hidden="1" outlineLevel="1" x14ac:dyDescent="0.45">
      <c r="A60" s="64"/>
      <c r="B60" s="64"/>
      <c r="C60" s="102"/>
      <c r="D60" s="64"/>
      <c r="E60" s="97" t="s">
        <v>11</v>
      </c>
      <c r="F60" s="88"/>
      <c r="G60" s="98">
        <f>SUMIFS($G$33:$G$49,$K$33:$K$49,D59,$H$33:$H$49,E60)</f>
        <v>0</v>
      </c>
      <c r="H60" s="99">
        <f>IFERROR(SUMIFS($G$33:$G$49,$K$33:$K$49,$D$59,$H$33:$H$49,E60)/$G$59,0%)</f>
        <v>0</v>
      </c>
      <c r="I60" s="100" cm="1">
        <f t="array" ref="I60">IFERROR(
  SUMPRODUCT(($K$33:$K$49=D59)*($H$33:$H$49=E60)*$G$33:$G$49*$I$33:$I$49) /
  SUMIFS($G$33:$G$49, $K$33:$K$49, D59, $H$33:$H$49, E60),
  0
)</f>
        <v>0</v>
      </c>
      <c r="J60" s="98"/>
      <c r="K60" s="90"/>
      <c r="L60" s="90"/>
      <c r="M60" s="64"/>
      <c r="N60" s="64"/>
      <c r="O60" s="64"/>
      <c r="P60" s="64"/>
      <c r="Q60" s="64"/>
      <c r="R60" s="64"/>
    </row>
    <row r="61" spans="1:18" s="65" customFormat="1" hidden="1" outlineLevel="1" x14ac:dyDescent="0.45">
      <c r="A61" s="64"/>
      <c r="B61" s="64"/>
      <c r="C61" s="102"/>
      <c r="D61" s="64"/>
      <c r="E61" s="97" t="s">
        <v>52</v>
      </c>
      <c r="F61" s="64"/>
      <c r="G61" s="98">
        <f>SUMIFS($G$33:$G$49,$K$33:$K$49,D59,$H$33:$H$49,E61)</f>
        <v>0</v>
      </c>
      <c r="H61" s="99">
        <f>IFERROR(SUMIFS($G$33:$G$49,$K$33:$K$49,$D$59,$H$33:$H$49,E61)/$G$59,0%)</f>
        <v>0</v>
      </c>
      <c r="I61" s="100" cm="1">
        <f t="array" ref="I61">IFERROR(
  SUMPRODUCT(($K$33:$K$49=D59)*($H$33:$H$49=E61)*$G$33:$G$49*$I$33:$I$49) /
  SUMIFS($G$33:$G$49, $K$33:$K$49, D59, $H$33:$H$49, E61),
  0
)</f>
        <v>0</v>
      </c>
      <c r="J61" s="98"/>
      <c r="K61" s="90"/>
      <c r="L61" s="90"/>
      <c r="M61" s="64"/>
      <c r="N61" s="64"/>
      <c r="O61" s="64"/>
      <c r="P61" s="64"/>
      <c r="Q61" s="64"/>
      <c r="R61" s="64"/>
    </row>
    <row r="62" spans="1:18" s="65" customFormat="1" hidden="1" outlineLevel="1" x14ac:dyDescent="0.45">
      <c r="A62" s="64"/>
      <c r="B62" s="64"/>
      <c r="C62" s="102"/>
      <c r="D62" s="97"/>
      <c r="E62" s="64"/>
      <c r="F62" s="64"/>
      <c r="G62" s="98"/>
      <c r="H62" s="99"/>
      <c r="I62" s="100"/>
      <c r="J62" s="98"/>
      <c r="K62" s="90"/>
      <c r="L62" s="90"/>
      <c r="M62" s="64"/>
      <c r="N62" s="64"/>
      <c r="O62" s="64"/>
      <c r="P62" s="64"/>
      <c r="Q62" s="64"/>
      <c r="R62" s="64"/>
    </row>
    <row r="63" spans="1:18" s="65" customFormat="1" hidden="1" outlineLevel="1" x14ac:dyDescent="0.45">
      <c r="A63" s="64"/>
      <c r="B63" s="103" t="s">
        <v>133</v>
      </c>
      <c r="C63" s="69"/>
      <c r="D63" s="69"/>
      <c r="E63" s="69"/>
      <c r="F63" s="69"/>
      <c r="G63" s="104" t="s">
        <v>134</v>
      </c>
      <c r="H63" s="105"/>
      <c r="I63" s="106"/>
      <c r="J63" s="64"/>
      <c r="K63" s="90"/>
      <c r="L63" s="90"/>
      <c r="M63" s="64"/>
      <c r="N63" s="64"/>
      <c r="O63" s="64"/>
      <c r="P63" s="64"/>
      <c r="Q63" s="64"/>
      <c r="R63" s="64"/>
    </row>
    <row r="64" spans="1:18" s="65" customFormat="1" hidden="1" outlineLevel="1" x14ac:dyDescent="0.45">
      <c r="A64" s="64"/>
      <c r="B64" s="64"/>
      <c r="C64" s="64"/>
      <c r="D64" s="107" t="s">
        <v>96</v>
      </c>
      <c r="E64" s="64"/>
      <c r="F64" s="64">
        <f>IF(K50&lt;=G17,1,0)</f>
        <v>1</v>
      </c>
      <c r="G64" s="108" t="b">
        <f>F64=1</f>
        <v>1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</row>
    <row r="65" spans="1:18" s="65" customFormat="1" hidden="1" outlineLevel="1" x14ac:dyDescent="0.45">
      <c r="A65" s="64"/>
      <c r="B65" s="64"/>
      <c r="C65" s="64"/>
      <c r="D65" s="107" t="s">
        <v>95</v>
      </c>
      <c r="E65" s="64"/>
      <c r="F65" s="64">
        <f>IF(K50&gt;G17,1,0)</f>
        <v>0</v>
      </c>
      <c r="G65" s="108" t="b">
        <f>F65=1</f>
        <v>0</v>
      </c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</row>
    <row r="66" spans="1:18" s="65" customFormat="1" hidden="1" outlineLevel="1" x14ac:dyDescent="0.45">
      <c r="A66" s="64"/>
      <c r="B66" s="80"/>
      <c r="C66" s="64"/>
      <c r="D66" s="64"/>
      <c r="E66" s="64"/>
      <c r="F66" s="64"/>
      <c r="G66" s="108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</row>
    <row r="67" spans="1:18" s="65" customFormat="1" hidden="1" outlineLevel="1" x14ac:dyDescent="0.45">
      <c r="A67" s="64"/>
      <c r="B67" s="80"/>
      <c r="C67" s="64"/>
      <c r="D67" s="64"/>
      <c r="E67" s="64"/>
      <c r="F67" s="64"/>
      <c r="G67" s="108"/>
      <c r="H67" s="64"/>
      <c r="I67" s="64"/>
      <c r="J67" s="64"/>
      <c r="K67" s="64"/>
      <c r="L67" s="64"/>
      <c r="M67" s="64"/>
      <c r="N67" s="64"/>
      <c r="O67" s="109" t="s">
        <v>107</v>
      </c>
      <c r="P67" s="64"/>
      <c r="Q67" s="64"/>
      <c r="R67" s="64"/>
    </row>
    <row r="68" spans="1:18" s="65" customFormat="1" hidden="1" outlineLevel="1" x14ac:dyDescent="0.45">
      <c r="A68" s="64"/>
      <c r="B68" s="110" t="s">
        <v>96</v>
      </c>
      <c r="C68" s="64"/>
      <c r="D68" s="64"/>
      <c r="E68" s="64"/>
      <c r="F68" s="64">
        <f>F64</f>
        <v>1</v>
      </c>
      <c r="G68" s="108" t="b">
        <f>F68=1</f>
        <v>1</v>
      </c>
      <c r="H68" s="64"/>
      <c r="I68" s="64"/>
      <c r="J68" s="64"/>
      <c r="K68" s="64"/>
      <c r="L68" s="64"/>
      <c r="M68" s="64"/>
      <c r="N68" s="64"/>
      <c r="O68" s="109" t="s">
        <v>113</v>
      </c>
      <c r="P68" s="64"/>
      <c r="Q68" s="64"/>
      <c r="R68" s="64"/>
    </row>
    <row r="69" spans="1:18" s="65" customFormat="1" hidden="1" outlineLevel="1" x14ac:dyDescent="0.45">
      <c r="A69" s="64"/>
      <c r="B69" s="64"/>
      <c r="C69" s="64"/>
      <c r="D69" s="109" t="s">
        <v>144</v>
      </c>
      <c r="E69" s="111" t="s">
        <v>78</v>
      </c>
      <c r="F69" s="111" t="e">
        <f>IF(M56&gt; -0.5,  1, 0)</f>
        <v>#DIV/0!</v>
      </c>
      <c r="G69" s="108" t="e">
        <f>F69=1</f>
        <v>#DIV/0!</v>
      </c>
      <c r="H69" s="64"/>
      <c r="I69" s="64"/>
      <c r="J69" s="64"/>
      <c r="K69" s="64"/>
      <c r="L69" s="64"/>
      <c r="M69" s="64"/>
      <c r="N69" s="64"/>
      <c r="O69" s="109" t="s">
        <v>166</v>
      </c>
      <c r="P69" s="64"/>
      <c r="Q69" s="64"/>
      <c r="R69" s="64"/>
    </row>
    <row r="70" spans="1:18" s="65" customFormat="1" hidden="1" outlineLevel="1" x14ac:dyDescent="0.45">
      <c r="A70" s="64"/>
      <c r="B70" s="64"/>
      <c r="C70" s="64"/>
      <c r="D70" s="109" t="s">
        <v>145</v>
      </c>
      <c r="E70" s="111" t="s">
        <v>83</v>
      </c>
      <c r="F70" s="64"/>
      <c r="G70" s="112" t="e">
        <f>$K$56*$K$50</f>
        <v>#DIV/0!</v>
      </c>
      <c r="H70" s="64"/>
      <c r="I70" s="64"/>
      <c r="J70" s="64"/>
      <c r="K70" s="64"/>
      <c r="L70" s="64"/>
      <c r="M70" s="64"/>
      <c r="N70" s="64"/>
      <c r="O70" s="109" t="s">
        <v>108</v>
      </c>
      <c r="P70" s="64"/>
      <c r="Q70" s="64"/>
      <c r="R70" s="64"/>
    </row>
    <row r="71" spans="1:18" s="65" customFormat="1" hidden="1" outlineLevel="1" x14ac:dyDescent="0.45">
      <c r="A71" s="64"/>
      <c r="B71" s="64"/>
      <c r="C71" s="64"/>
      <c r="D71" s="109" t="s">
        <v>146</v>
      </c>
      <c r="E71" s="111" t="s">
        <v>84</v>
      </c>
      <c r="F71" s="64"/>
      <c r="G71" s="112" t="e">
        <f>$K$53*$K$50</f>
        <v>#DIV/0!</v>
      </c>
      <c r="H71" s="64"/>
      <c r="I71" s="64"/>
      <c r="J71" s="64"/>
      <c r="K71" s="64"/>
      <c r="L71" s="64"/>
      <c r="M71" s="64"/>
      <c r="N71" s="64"/>
      <c r="O71" s="109" t="s">
        <v>109</v>
      </c>
      <c r="P71" s="64"/>
      <c r="Q71" s="64"/>
      <c r="R71" s="64"/>
    </row>
    <row r="72" spans="1:18" s="65" customFormat="1" hidden="1" outlineLevel="1" x14ac:dyDescent="0.45">
      <c r="A72" s="64"/>
      <c r="B72" s="64"/>
      <c r="C72" s="64"/>
      <c r="D72" s="109" t="s">
        <v>147</v>
      </c>
      <c r="E72" s="64" t="s">
        <v>85</v>
      </c>
      <c r="F72" s="64"/>
      <c r="G72" s="113" t="e">
        <f>(K53*K50)+(K56*K50)</f>
        <v>#DIV/0!</v>
      </c>
      <c r="H72" s="64"/>
      <c r="I72" s="64"/>
      <c r="J72" s="64"/>
      <c r="K72" s="64"/>
      <c r="L72" s="64"/>
      <c r="M72" s="64"/>
      <c r="N72" s="64"/>
      <c r="O72" s="109" t="s">
        <v>110</v>
      </c>
      <c r="P72" s="64"/>
      <c r="Q72" s="64"/>
      <c r="R72" s="64"/>
    </row>
    <row r="73" spans="1:18" s="65" customFormat="1" hidden="1" outlineLevel="1" x14ac:dyDescent="0.45">
      <c r="A73" s="64"/>
      <c r="B73" s="64"/>
      <c r="C73" s="64"/>
      <c r="D73" s="109" t="s">
        <v>148</v>
      </c>
      <c r="E73" s="64" t="s">
        <v>81</v>
      </c>
      <c r="F73" s="111" t="e">
        <f>IF(AND(K56&gt;0,H53+H56&gt;=70%),1,0)</f>
        <v>#DIV/0!</v>
      </c>
      <c r="G73" s="86" t="e">
        <f>F73=1</f>
        <v>#DIV/0!</v>
      </c>
      <c r="H73" s="64"/>
      <c r="I73" s="64"/>
      <c r="J73" s="64"/>
      <c r="K73" s="64"/>
      <c r="L73" s="64"/>
      <c r="M73" s="64"/>
      <c r="N73" s="64"/>
      <c r="O73" s="109" t="s">
        <v>111</v>
      </c>
      <c r="P73" s="64"/>
      <c r="Q73" s="64"/>
      <c r="R73" s="64"/>
    </row>
    <row r="74" spans="1:18" s="65" customFormat="1" hidden="1" outlineLevel="1" x14ac:dyDescent="0.45">
      <c r="A74" s="64"/>
      <c r="B74" s="64"/>
      <c r="C74" s="64"/>
      <c r="D74" s="109" t="s">
        <v>149</v>
      </c>
      <c r="E74" s="64" t="s">
        <v>86</v>
      </c>
      <c r="F74" s="64"/>
      <c r="G74" s="114" t="e">
        <f>IF(AND(F69=1, K53&gt;0),K53*K50,0)</f>
        <v>#DIV/0!</v>
      </c>
      <c r="H74" s="64"/>
      <c r="I74" s="64"/>
      <c r="J74" s="64"/>
      <c r="K74" s="64"/>
      <c r="L74" s="64"/>
      <c r="M74" s="64"/>
      <c r="N74" s="64"/>
      <c r="O74" s="109" t="s">
        <v>112</v>
      </c>
      <c r="P74" s="64"/>
      <c r="Q74" s="64"/>
      <c r="R74" s="64"/>
    </row>
    <row r="75" spans="1:18" s="65" customFormat="1" hidden="1" outlineLevel="1" x14ac:dyDescent="0.45">
      <c r="A75" s="64"/>
      <c r="B75" s="64"/>
      <c r="C75" s="64"/>
      <c r="D75" s="109" t="s">
        <v>150</v>
      </c>
      <c r="E75" s="64" t="s">
        <v>87</v>
      </c>
      <c r="F75" s="111" t="e">
        <f>IF(G74&gt;=0.5,1,0)</f>
        <v>#DIV/0!</v>
      </c>
      <c r="G75" s="108" t="e">
        <f>F75=1</f>
        <v>#DIV/0!</v>
      </c>
      <c r="H75" s="64"/>
      <c r="I75" s="64"/>
      <c r="J75" s="64"/>
      <c r="K75" s="64"/>
      <c r="L75" s="64"/>
      <c r="M75" s="64"/>
      <c r="N75" s="64"/>
      <c r="O75" s="109" t="s">
        <v>89</v>
      </c>
      <c r="P75" s="64"/>
      <c r="Q75" s="64"/>
      <c r="R75" s="64"/>
    </row>
    <row r="76" spans="1:18" s="65" customFormat="1" ht="15" hidden="1" customHeight="1" outlineLevel="1" x14ac:dyDescent="0.45">
      <c r="A76" s="64"/>
      <c r="B76" s="109"/>
      <c r="C76" s="64"/>
      <c r="D76" s="109" t="s">
        <v>151</v>
      </c>
      <c r="E76" s="64" t="s">
        <v>154</v>
      </c>
      <c r="F76" s="64"/>
      <c r="G76" s="115" t="e">
        <f>IF(G72&lt;G71,G71,G72)</f>
        <v>#DIV/0!</v>
      </c>
      <c r="H76" s="64"/>
      <c r="I76" s="64"/>
      <c r="J76" s="64"/>
      <c r="K76" s="64"/>
      <c r="L76" s="64"/>
      <c r="M76" s="64"/>
      <c r="N76" s="64"/>
      <c r="O76" s="109" t="s">
        <v>90</v>
      </c>
      <c r="P76" s="64"/>
      <c r="Q76" s="64"/>
      <c r="R76" s="64"/>
    </row>
    <row r="77" spans="1:18" collapsed="1" x14ac:dyDescent="0.45"/>
    <row r="78" spans="1:18" s="65" customFormat="1" hidden="1" outlineLevel="1" x14ac:dyDescent="0.45">
      <c r="A78" s="64"/>
      <c r="B78" s="64"/>
      <c r="C78" s="64"/>
      <c r="D78" s="109" t="s">
        <v>152</v>
      </c>
      <c r="E78" s="116" t="s">
        <v>158</v>
      </c>
      <c r="F78" s="64">
        <f>IF(K50&lt;2,1,0)</f>
        <v>1</v>
      </c>
      <c r="G78" s="117" t="b">
        <f>F78=1</f>
        <v>1</v>
      </c>
      <c r="H78" s="64"/>
      <c r="I78" s="64"/>
      <c r="J78" s="64"/>
      <c r="K78" s="64"/>
      <c r="L78" s="64"/>
      <c r="M78" s="64"/>
      <c r="N78" s="64"/>
      <c r="O78" s="109" t="s">
        <v>158</v>
      </c>
      <c r="P78" s="64"/>
      <c r="Q78" s="64"/>
      <c r="R78" s="64"/>
    </row>
    <row r="79" spans="1:18" s="65" customFormat="1" hidden="1" outlineLevel="1" x14ac:dyDescent="0.45">
      <c r="A79" s="64"/>
      <c r="B79" s="64"/>
      <c r="C79" s="64"/>
      <c r="D79" s="109" t="s">
        <v>153</v>
      </c>
      <c r="E79" s="116" t="s">
        <v>154</v>
      </c>
      <c r="F79" s="64"/>
      <c r="G79" s="115" t="e">
        <f>IF(AND(F78=1,G71&lt;0),G71,G72)</f>
        <v>#DIV/0!</v>
      </c>
      <c r="H79" s="64"/>
      <c r="I79" s="64"/>
      <c r="J79" s="64"/>
      <c r="K79" s="64"/>
      <c r="L79" s="64"/>
      <c r="M79" s="64"/>
      <c r="N79" s="64"/>
      <c r="O79" s="109" t="s">
        <v>161</v>
      </c>
      <c r="P79" s="64"/>
      <c r="Q79" s="64"/>
      <c r="R79" s="64"/>
    </row>
    <row r="80" spans="1:18" s="65" customFormat="1" hidden="1" outlineLevel="1" x14ac:dyDescent="0.45">
      <c r="A80" s="64"/>
      <c r="B80" s="64"/>
      <c r="C80" s="64"/>
      <c r="D80" s="109" t="s">
        <v>156</v>
      </c>
      <c r="E80" s="116" t="s">
        <v>164</v>
      </c>
      <c r="F80" s="64">
        <f>IF(K50=2, 1,0)</f>
        <v>0</v>
      </c>
      <c r="G80" s="117" t="b">
        <f>F80=1</f>
        <v>0</v>
      </c>
      <c r="H80" s="64"/>
      <c r="I80" s="64"/>
      <c r="J80" s="64"/>
      <c r="K80" s="64"/>
      <c r="L80" s="64"/>
      <c r="M80" s="64"/>
      <c r="N80" s="64"/>
      <c r="O80" s="109" t="s">
        <v>164</v>
      </c>
      <c r="P80" s="64"/>
      <c r="Q80" s="64"/>
      <c r="R80" s="64"/>
    </row>
    <row r="81" spans="1:18" s="65" customFormat="1" hidden="1" outlineLevel="1" x14ac:dyDescent="0.45">
      <c r="A81" s="64"/>
      <c r="B81" s="64"/>
      <c r="C81" s="64"/>
      <c r="D81" s="109" t="s">
        <v>159</v>
      </c>
      <c r="E81" s="116" t="s">
        <v>154</v>
      </c>
      <c r="F81" s="64"/>
      <c r="G81" s="115" t="e">
        <f>IF(AND(F80=1,G72&lt;0),G72,0)</f>
        <v>#DIV/0!</v>
      </c>
      <c r="H81" s="64"/>
      <c r="I81" s="64"/>
      <c r="J81" s="64"/>
      <c r="K81" s="64"/>
      <c r="L81" s="64"/>
      <c r="M81" s="64"/>
      <c r="N81" s="64"/>
      <c r="O81" s="109" t="s">
        <v>161</v>
      </c>
      <c r="P81" s="64"/>
      <c r="Q81" s="64"/>
      <c r="R81" s="64"/>
    </row>
    <row r="82" spans="1:18" s="65" customFormat="1" ht="28.25" hidden="1" customHeight="1" outlineLevel="1" x14ac:dyDescent="0.45">
      <c r="A82" s="64"/>
      <c r="B82" s="64"/>
      <c r="C82" s="64"/>
      <c r="D82" s="109" t="s">
        <v>160</v>
      </c>
      <c r="E82" s="116" t="s">
        <v>163</v>
      </c>
      <c r="F82" s="64" t="e">
        <f>IF(AND(G76&lt;=-0.5,K50 &gt;=3), 1,0)</f>
        <v>#DIV/0!</v>
      </c>
      <c r="G82" s="117" t="e">
        <f>F82=1</f>
        <v>#DIV/0!</v>
      </c>
      <c r="H82" s="64"/>
      <c r="I82" s="64"/>
      <c r="J82" s="64"/>
      <c r="K82" s="64"/>
      <c r="L82" s="64"/>
      <c r="M82" s="64"/>
      <c r="N82" s="64"/>
      <c r="O82" s="109" t="s">
        <v>165</v>
      </c>
      <c r="P82" s="64"/>
      <c r="Q82" s="64"/>
      <c r="R82" s="64"/>
    </row>
    <row r="83" spans="1:18" s="65" customFormat="1" hidden="1" outlineLevel="1" x14ac:dyDescent="0.45">
      <c r="A83" s="64"/>
      <c r="B83" s="64"/>
      <c r="C83" s="64"/>
      <c r="D83" s="109"/>
      <c r="E83" s="116"/>
      <c r="F83" s="64"/>
      <c r="G83" s="117"/>
      <c r="H83" s="64"/>
      <c r="I83" s="64"/>
      <c r="J83" s="64"/>
      <c r="K83" s="64"/>
      <c r="L83" s="64"/>
      <c r="M83" s="64"/>
      <c r="N83" s="64"/>
      <c r="O83" s="109"/>
      <c r="P83" s="64"/>
      <c r="Q83" s="64"/>
      <c r="R83" s="64"/>
    </row>
    <row r="84" spans="1:18" s="65" customFormat="1" hidden="1" outlineLevel="1" x14ac:dyDescent="0.45">
      <c r="A84" s="64"/>
      <c r="B84" s="64"/>
      <c r="C84" s="64"/>
      <c r="D84" s="109"/>
      <c r="E84" s="116"/>
      <c r="F84" s="64"/>
      <c r="G84" s="117"/>
      <c r="H84" s="64"/>
      <c r="I84" s="64"/>
      <c r="J84" s="64"/>
      <c r="K84" s="64"/>
      <c r="L84" s="64"/>
      <c r="M84" s="64"/>
      <c r="N84" s="64"/>
      <c r="O84" s="109"/>
      <c r="P84" s="64"/>
      <c r="Q84" s="64"/>
      <c r="R84" s="64"/>
    </row>
    <row r="85" spans="1:18" s="65" customFormat="1" hidden="1" outlineLevel="1" x14ac:dyDescent="0.45">
      <c r="A85" s="64"/>
      <c r="B85" s="64"/>
      <c r="C85" s="64"/>
      <c r="D85" s="64"/>
      <c r="E85" s="64"/>
      <c r="F85" s="109"/>
      <c r="G85" s="108"/>
      <c r="H85" s="64"/>
      <c r="I85" s="64"/>
      <c r="J85" s="118"/>
      <c r="K85" s="64"/>
      <c r="L85" s="64"/>
      <c r="M85" s="64"/>
      <c r="N85" s="64"/>
      <c r="O85" s="109"/>
      <c r="P85" s="64"/>
      <c r="Q85" s="64"/>
      <c r="R85" s="64"/>
    </row>
    <row r="86" spans="1:18" s="65" customFormat="1" hidden="1" outlineLevel="1" x14ac:dyDescent="0.45">
      <c r="A86" s="64"/>
      <c r="B86" s="64"/>
      <c r="C86" s="110" t="s">
        <v>88</v>
      </c>
      <c r="D86" s="64"/>
      <c r="E86" s="64"/>
      <c r="F86" s="64"/>
      <c r="G86" s="117"/>
      <c r="H86" s="64"/>
      <c r="I86" s="64"/>
      <c r="J86" s="64"/>
      <c r="K86" s="64"/>
      <c r="L86" s="64"/>
      <c r="M86" s="64"/>
      <c r="N86" s="64"/>
      <c r="O86" s="109"/>
      <c r="P86" s="64"/>
      <c r="Q86" s="64"/>
      <c r="R86" s="64"/>
    </row>
    <row r="87" spans="1:18" s="65" customFormat="1" hidden="1" outlineLevel="1" x14ac:dyDescent="0.45">
      <c r="A87" s="64"/>
      <c r="B87" s="64"/>
      <c r="C87" s="64"/>
      <c r="D87" s="119" t="s">
        <v>91</v>
      </c>
      <c r="E87" s="64" t="s">
        <v>201</v>
      </c>
      <c r="F87" s="64" t="e">
        <f>IF(F69=0,1,0)</f>
        <v>#DIV/0!</v>
      </c>
      <c r="G87" s="108" t="e">
        <f>F87=1</f>
        <v>#DIV/0!</v>
      </c>
      <c r="H87" s="64"/>
      <c r="I87" s="64"/>
      <c r="J87" s="64"/>
      <c r="K87" s="64"/>
      <c r="L87" s="64"/>
      <c r="M87" s="64"/>
      <c r="N87" s="64"/>
      <c r="O87" s="109" t="s">
        <v>155</v>
      </c>
      <c r="P87" s="64"/>
      <c r="Q87" s="64"/>
      <c r="R87" s="64"/>
    </row>
    <row r="88" spans="1:18" s="65" customFormat="1" hidden="1" outlineLevel="1" x14ac:dyDescent="0.45">
      <c r="A88" s="64"/>
      <c r="B88" s="64"/>
      <c r="C88" s="64"/>
      <c r="D88" s="119" t="s">
        <v>92</v>
      </c>
      <c r="E88" s="64" t="s">
        <v>76</v>
      </c>
      <c r="F88" s="111" t="e">
        <f>IF(OR(AND(F87=0,F75=1),OR(AND(F87=0, F80=1,G72&gt;0))),1,0)</f>
        <v>#DIV/0!</v>
      </c>
      <c r="G88" s="120" t="e">
        <f>F88=1</f>
        <v>#DIV/0!</v>
      </c>
      <c r="H88" s="64"/>
      <c r="I88" s="64"/>
      <c r="J88" s="64"/>
      <c r="K88" s="64"/>
      <c r="L88" s="64"/>
      <c r="M88" s="64"/>
      <c r="N88" s="64"/>
      <c r="O88" s="109" t="s">
        <v>167</v>
      </c>
      <c r="P88" s="64"/>
      <c r="Q88" s="64"/>
      <c r="R88" s="64"/>
    </row>
    <row r="89" spans="1:18" s="65" customFormat="1" hidden="1" outlineLevel="1" x14ac:dyDescent="0.45">
      <c r="A89" s="64"/>
      <c r="B89" s="64"/>
      <c r="C89" s="64"/>
      <c r="D89" s="119" t="s">
        <v>94</v>
      </c>
      <c r="E89" s="64" t="s">
        <v>77</v>
      </c>
      <c r="F89" s="64" t="e">
        <f>IF(AND(F69=1,F73=1),0,
   IF(AND(F69=1,F73=0,F78=1,G72&lt;0),1,
      IF(AND(F87=0,F80=1,G72&lt;0),1,
         IF(AND(F87=0,F82=1),1,0)
      )
   )
)</f>
        <v>#DIV/0!</v>
      </c>
      <c r="G89" s="121" t="e">
        <f>F89=1</f>
        <v>#DIV/0!</v>
      </c>
      <c r="H89" s="64"/>
      <c r="I89" s="64"/>
      <c r="J89" s="64"/>
      <c r="K89" s="64"/>
      <c r="L89" s="64"/>
      <c r="M89" s="64"/>
      <c r="N89" s="64"/>
      <c r="O89" s="109" t="s">
        <v>168</v>
      </c>
      <c r="P89" s="64"/>
      <c r="Q89" s="64"/>
      <c r="R89" s="64"/>
    </row>
    <row r="90" spans="1:18" s="65" customFormat="1" hidden="1" outlineLevel="1" x14ac:dyDescent="0.45">
      <c r="A90" s="64"/>
      <c r="B90" s="64"/>
      <c r="C90" s="64"/>
      <c r="D90" s="119" t="s">
        <v>93</v>
      </c>
      <c r="E90" s="64" t="s">
        <v>79</v>
      </c>
      <c r="F90" s="64" t="e">
        <f>IF(AND(F87=0,F88=0,F89=0),1,0)</f>
        <v>#DIV/0!</v>
      </c>
      <c r="G90" s="86" t="e">
        <f>F90=1</f>
        <v>#DIV/0!</v>
      </c>
      <c r="H90" s="64"/>
      <c r="I90" s="64"/>
      <c r="J90" s="64"/>
      <c r="K90" s="64"/>
      <c r="L90" s="64"/>
      <c r="M90" s="64"/>
      <c r="N90" s="64"/>
      <c r="O90" s="109" t="s">
        <v>169</v>
      </c>
      <c r="P90" s="64"/>
      <c r="Q90" s="64"/>
      <c r="R90" s="64"/>
    </row>
    <row r="91" spans="1:18" s="65" customFormat="1" hidden="1" outlineLevel="1" x14ac:dyDescent="0.45">
      <c r="A91" s="64"/>
      <c r="B91" s="64"/>
      <c r="C91" s="64"/>
      <c r="D91" s="119" t="s">
        <v>97</v>
      </c>
      <c r="E91" s="64" t="s">
        <v>130</v>
      </c>
      <c r="F91" s="64"/>
      <c r="G91" s="86">
        <f>IFERROR(
    IF(
        AND(F88=1,F78=1),
        G79,
        IF(
            F88=1,
            G74,
            -1 * IF(
                F89=1,
                IF(
                    F82=1, G76,
                    IF(
                        F78=1, G79,
                        IF(
                            F80=1, G81, ""
                        )
                    )
                ),
                ""
            )
        )
    ),
    0
)</f>
        <v>0</v>
      </c>
      <c r="H91" s="64"/>
      <c r="I91" s="64"/>
      <c r="J91" s="64"/>
      <c r="K91" s="64"/>
      <c r="L91" s="64"/>
      <c r="M91" s="64"/>
      <c r="N91" s="64"/>
      <c r="O91" s="109" t="s">
        <v>170</v>
      </c>
      <c r="P91" s="64"/>
      <c r="Q91" s="64"/>
      <c r="R91" s="64"/>
    </row>
    <row r="92" spans="1:18" s="65" customFormat="1" hidden="1" outlineLevel="1" x14ac:dyDescent="0.45">
      <c r="A92" s="64"/>
      <c r="B92" s="64"/>
      <c r="C92" s="64"/>
      <c r="D92" s="119"/>
      <c r="E92" s="64"/>
      <c r="F92" s="64"/>
      <c r="G92" s="86"/>
      <c r="H92" s="64"/>
      <c r="I92" s="64"/>
      <c r="J92" s="64"/>
      <c r="K92" s="64"/>
      <c r="L92" s="64"/>
      <c r="M92" s="64"/>
      <c r="N92" s="64"/>
      <c r="O92" s="109"/>
      <c r="P92" s="64"/>
      <c r="Q92" s="64"/>
      <c r="R92" s="64"/>
    </row>
    <row r="93" spans="1:18" s="65" customFormat="1" hidden="1" outlineLevel="1" x14ac:dyDescent="0.45">
      <c r="A93" s="64"/>
      <c r="B93" s="64"/>
      <c r="C93" s="64"/>
      <c r="D93" s="64"/>
      <c r="E93" s="64"/>
      <c r="F93" s="109"/>
      <c r="G93" s="122"/>
      <c r="H93" s="64"/>
      <c r="I93" s="64"/>
      <c r="J93" s="111"/>
      <c r="K93" s="64"/>
      <c r="L93" s="64"/>
      <c r="M93" s="64"/>
      <c r="N93" s="64"/>
      <c r="O93" s="64"/>
      <c r="P93" s="64"/>
      <c r="Q93" s="64"/>
      <c r="R93" s="64"/>
    </row>
    <row r="94" spans="1:18" s="65" customFormat="1" hidden="1" outlineLevel="1" x14ac:dyDescent="0.45">
      <c r="A94" s="64"/>
      <c r="B94" s="64"/>
      <c r="C94" s="110" t="s">
        <v>95</v>
      </c>
      <c r="D94" s="84"/>
      <c r="E94" s="64"/>
      <c r="F94" s="64">
        <f>F65</f>
        <v>0</v>
      </c>
      <c r="G94" s="86" t="b">
        <f>F94=1</f>
        <v>0</v>
      </c>
      <c r="H94" s="64"/>
      <c r="I94" s="64"/>
      <c r="J94" s="64"/>
      <c r="K94" s="64"/>
      <c r="L94" s="64"/>
      <c r="M94" s="64"/>
      <c r="N94" s="64"/>
      <c r="O94" s="109" t="s">
        <v>115</v>
      </c>
      <c r="P94" s="64"/>
      <c r="Q94" s="64"/>
      <c r="R94" s="64"/>
    </row>
    <row r="95" spans="1:18" s="65" customFormat="1" hidden="1" outlineLevel="1" x14ac:dyDescent="0.45">
      <c r="A95" s="64"/>
      <c r="B95" s="64"/>
      <c r="C95" s="64"/>
      <c r="D95" s="109" t="s">
        <v>144</v>
      </c>
      <c r="E95" s="111" t="s">
        <v>78</v>
      </c>
      <c r="F95" s="64" t="e">
        <f>IF(M56&gt;-0.5,1,0)</f>
        <v>#DIV/0!</v>
      </c>
      <c r="G95" s="86" t="e">
        <f>F95=1</f>
        <v>#DIV/0!</v>
      </c>
      <c r="H95" s="64"/>
      <c r="I95" s="64"/>
      <c r="J95" s="64"/>
      <c r="K95" s="64"/>
      <c r="L95" s="64"/>
      <c r="M95" s="64"/>
      <c r="N95" s="64"/>
      <c r="O95" s="109" t="s">
        <v>114</v>
      </c>
      <c r="P95" s="64"/>
      <c r="Q95" s="64"/>
      <c r="R95" s="64"/>
    </row>
    <row r="96" spans="1:18" s="65" customFormat="1" hidden="1" outlineLevel="1" x14ac:dyDescent="0.45">
      <c r="A96" s="64"/>
      <c r="B96" s="64"/>
      <c r="C96" s="64"/>
      <c r="D96" s="109" t="s">
        <v>148</v>
      </c>
      <c r="E96" s="64" t="s">
        <v>80</v>
      </c>
      <c r="F96" s="111" t="e">
        <f>IF(K53&gt;=0,1,0)</f>
        <v>#DIV/0!</v>
      </c>
      <c r="G96" s="86" t="e">
        <f>F96=1</f>
        <v>#DIV/0!</v>
      </c>
      <c r="H96" s="64"/>
      <c r="I96" s="64"/>
      <c r="J96" s="64"/>
      <c r="K96" s="64"/>
      <c r="L96" s="64"/>
      <c r="M96" s="64"/>
      <c r="N96" s="64"/>
      <c r="O96" s="109" t="s">
        <v>116</v>
      </c>
      <c r="P96" s="64"/>
      <c r="Q96" s="64"/>
      <c r="R96" s="64"/>
    </row>
    <row r="97" spans="1:18" s="65" customFormat="1" hidden="1" outlineLevel="1" x14ac:dyDescent="0.45">
      <c r="A97" s="64"/>
      <c r="B97" s="64"/>
      <c r="C97" s="64"/>
      <c r="D97" s="109" t="s">
        <v>149</v>
      </c>
      <c r="E97" s="64" t="s">
        <v>86</v>
      </c>
      <c r="F97" s="111"/>
      <c r="G97" s="114" t="e">
        <f>IF(K53*K50 &gt; 0, K53*K50,0)</f>
        <v>#DIV/0!</v>
      </c>
      <c r="H97" s="64"/>
      <c r="I97" s="64"/>
      <c r="J97" s="64"/>
      <c r="K97" s="64"/>
      <c r="L97" s="64"/>
      <c r="M97" s="64"/>
      <c r="N97" s="64"/>
      <c r="O97" s="109" t="s">
        <v>138</v>
      </c>
      <c r="P97" s="64"/>
      <c r="Q97" s="64"/>
      <c r="R97" s="64"/>
    </row>
    <row r="98" spans="1:18" s="65" customFormat="1" hidden="1" outlineLevel="1" x14ac:dyDescent="0.45">
      <c r="A98" s="64"/>
      <c r="B98" s="64"/>
      <c r="C98" s="64"/>
      <c r="D98" s="109" t="s">
        <v>150</v>
      </c>
      <c r="E98" s="64" t="s">
        <v>87</v>
      </c>
      <c r="F98" s="111" t="e">
        <f>IF(G97&gt;= 0.5, 1,0)</f>
        <v>#DIV/0!</v>
      </c>
      <c r="G98" s="117" t="e">
        <f>F98=1</f>
        <v>#DIV/0!</v>
      </c>
      <c r="H98" s="64"/>
      <c r="I98" s="64"/>
      <c r="J98" s="64"/>
      <c r="K98" s="64"/>
      <c r="L98" s="64"/>
      <c r="M98" s="64"/>
      <c r="N98" s="64"/>
      <c r="O98" s="109" t="s">
        <v>140</v>
      </c>
      <c r="P98" s="64"/>
      <c r="Q98" s="64"/>
      <c r="R98" s="64"/>
    </row>
    <row r="99" spans="1:18" s="65" customFormat="1" hidden="1" outlineLevel="1" x14ac:dyDescent="0.45">
      <c r="A99" s="64"/>
      <c r="B99" s="64"/>
      <c r="C99" s="64"/>
      <c r="D99" s="109" t="s">
        <v>151</v>
      </c>
      <c r="E99" s="64" t="s">
        <v>137</v>
      </c>
      <c r="F99" s="111"/>
      <c r="G99" s="115" t="e">
        <f>IF(K53*K50 &lt; 0, K53*K50,0)</f>
        <v>#DIV/0!</v>
      </c>
      <c r="H99" s="64"/>
      <c r="I99" s="64"/>
      <c r="J99" s="64"/>
      <c r="K99" s="64"/>
      <c r="L99" s="64"/>
      <c r="M99" s="64"/>
      <c r="N99" s="64"/>
      <c r="O99" s="109" t="s">
        <v>139</v>
      </c>
      <c r="P99" s="64"/>
      <c r="Q99" s="64"/>
      <c r="R99" s="64"/>
    </row>
    <row r="100" spans="1:18" s="65" customFormat="1" hidden="1" outlineLevel="1" x14ac:dyDescent="0.45">
      <c r="A100" s="64"/>
      <c r="B100" s="64"/>
      <c r="C100" s="64"/>
      <c r="D100" s="109" t="s">
        <v>152</v>
      </c>
      <c r="E100" s="64" t="s">
        <v>136</v>
      </c>
      <c r="F100" s="111" t="e">
        <f>IF(G99&lt;=-0.5,1,0)</f>
        <v>#DIV/0!</v>
      </c>
      <c r="G100" s="117" t="e">
        <f>F100=1</f>
        <v>#DIV/0!</v>
      </c>
      <c r="H100" s="64"/>
      <c r="I100" s="64"/>
      <c r="J100" s="64"/>
      <c r="K100" s="64"/>
      <c r="L100" s="64"/>
      <c r="M100" s="64"/>
      <c r="N100" s="64"/>
      <c r="O100" s="109" t="s">
        <v>141</v>
      </c>
      <c r="P100" s="64"/>
      <c r="Q100" s="64"/>
      <c r="R100" s="64"/>
    </row>
    <row r="101" spans="1:18" s="65" customFormat="1" hidden="1" outlineLevel="1" x14ac:dyDescent="0.45">
      <c r="A101" s="64"/>
      <c r="B101" s="64"/>
      <c r="C101" s="64"/>
      <c r="D101" s="64"/>
      <c r="E101" s="64"/>
      <c r="F101" s="109"/>
      <c r="G101" s="108"/>
      <c r="H101" s="64"/>
      <c r="I101" s="111"/>
      <c r="J101" s="118"/>
      <c r="K101" s="64"/>
      <c r="L101" s="64"/>
      <c r="M101" s="64"/>
      <c r="N101" s="64"/>
      <c r="O101" s="109"/>
      <c r="P101" s="64"/>
      <c r="Q101" s="64"/>
      <c r="R101" s="64"/>
    </row>
    <row r="102" spans="1:18" hidden="1" outlineLevel="1" x14ac:dyDescent="0.45">
      <c r="C102" s="110" t="s">
        <v>88</v>
      </c>
      <c r="F102" s="111"/>
      <c r="G102" s="117"/>
      <c r="O102" s="109"/>
    </row>
    <row r="103" spans="1:18" s="65" customFormat="1" hidden="1" outlineLevel="1" x14ac:dyDescent="0.45">
      <c r="A103" s="64"/>
      <c r="B103" s="64"/>
      <c r="C103" s="64"/>
      <c r="D103" s="119" t="s">
        <v>91</v>
      </c>
      <c r="E103" s="64" t="s">
        <v>201</v>
      </c>
      <c r="F103" s="64" t="e">
        <f>IF(F95=1,0,1)</f>
        <v>#DIV/0!</v>
      </c>
      <c r="G103" s="123" t="e">
        <f>F103=1</f>
        <v>#DIV/0!</v>
      </c>
      <c r="H103" s="64"/>
      <c r="I103" s="64"/>
      <c r="J103" s="64"/>
      <c r="K103" s="64"/>
      <c r="L103" s="64"/>
      <c r="M103" s="64"/>
      <c r="N103" s="64"/>
      <c r="O103" s="109" t="s">
        <v>82</v>
      </c>
      <c r="P103" s="64"/>
      <c r="Q103" s="64"/>
      <c r="R103" s="64"/>
    </row>
    <row r="104" spans="1:18" s="65" customFormat="1" hidden="1" outlineLevel="1" x14ac:dyDescent="0.45">
      <c r="A104" s="64"/>
      <c r="B104" s="64"/>
      <c r="C104" s="64"/>
      <c r="D104" s="119" t="s">
        <v>92</v>
      </c>
      <c r="E104" s="64" t="s">
        <v>76</v>
      </c>
      <c r="F104" s="64" t="e">
        <f>IF(AND(F95=1,F98 = 1),1,0)</f>
        <v>#DIV/0!</v>
      </c>
      <c r="G104" s="124" t="e">
        <f>F104=1</f>
        <v>#DIV/0!</v>
      </c>
      <c r="H104" s="64"/>
      <c r="I104" s="64"/>
      <c r="J104" s="64"/>
      <c r="K104" s="64"/>
      <c r="L104" s="64"/>
      <c r="M104" s="64"/>
      <c r="N104" s="64"/>
      <c r="O104" s="109" t="s">
        <v>117</v>
      </c>
      <c r="P104" s="64"/>
      <c r="Q104" s="64"/>
      <c r="R104" s="64"/>
    </row>
    <row r="105" spans="1:18" s="65" customFormat="1" hidden="1" outlineLevel="1" x14ac:dyDescent="0.45">
      <c r="A105" s="64"/>
      <c r="B105" s="64"/>
      <c r="C105" s="64"/>
      <c r="D105" s="119" t="s">
        <v>94</v>
      </c>
      <c r="E105" s="64" t="s">
        <v>77</v>
      </c>
      <c r="F105" s="64" t="e">
        <f>IF(AND(F95=1,F100 = 1),1,0)</f>
        <v>#DIV/0!</v>
      </c>
      <c r="G105" s="125" t="e">
        <f>F105=1</f>
        <v>#DIV/0!</v>
      </c>
      <c r="H105" s="64"/>
      <c r="I105" s="64"/>
      <c r="J105" s="64"/>
      <c r="K105" s="64"/>
      <c r="L105" s="64"/>
      <c r="M105" s="64"/>
      <c r="N105" s="64"/>
      <c r="O105" s="109" t="s">
        <v>118</v>
      </c>
      <c r="P105" s="64"/>
      <c r="Q105" s="64"/>
      <c r="R105" s="64"/>
    </row>
    <row r="106" spans="1:18" s="65" customFormat="1" hidden="1" outlineLevel="1" x14ac:dyDescent="0.45">
      <c r="A106" s="64"/>
      <c r="B106" s="64"/>
      <c r="C106" s="64"/>
      <c r="D106" s="119" t="s">
        <v>93</v>
      </c>
      <c r="E106" s="64" t="s">
        <v>79</v>
      </c>
      <c r="F106" s="64" t="e">
        <f>IF(AND(F103=0,F104=0,F105=0),1,0)</f>
        <v>#DIV/0!</v>
      </c>
      <c r="G106" s="123" t="e">
        <f>F106=1</f>
        <v>#DIV/0!</v>
      </c>
      <c r="H106" s="64"/>
      <c r="I106" s="64"/>
      <c r="J106" s="64"/>
      <c r="K106" s="64"/>
      <c r="L106" s="64"/>
      <c r="M106" s="64"/>
      <c r="N106" s="64"/>
      <c r="O106" s="109" t="s">
        <v>119</v>
      </c>
      <c r="P106" s="64"/>
      <c r="Q106" s="64"/>
      <c r="R106" s="64"/>
    </row>
    <row r="107" spans="1:18" s="65" customFormat="1" hidden="1" outlineLevel="1" x14ac:dyDescent="0.45">
      <c r="A107" s="64"/>
      <c r="B107" s="64"/>
      <c r="C107" s="64"/>
      <c r="D107" s="119" t="s">
        <v>97</v>
      </c>
      <c r="E107" s="64" t="s">
        <v>130</v>
      </c>
      <c r="F107" s="64"/>
      <c r="G107" s="86" t="e">
        <f>IF(F104=1, G97, IF(F105=1, G99 *-1, 0))</f>
        <v>#DIV/0!</v>
      </c>
      <c r="H107" s="64"/>
      <c r="I107" s="64"/>
      <c r="J107" s="64"/>
      <c r="K107" s="64"/>
      <c r="L107" s="64"/>
      <c r="M107" s="64"/>
      <c r="N107" s="64"/>
      <c r="O107" s="109" t="s">
        <v>127</v>
      </c>
      <c r="P107" s="64"/>
      <c r="Q107" s="64"/>
      <c r="R107" s="64"/>
    </row>
    <row r="108" spans="1:18" s="65" customFormat="1" collapsed="1" x14ac:dyDescent="0.45">
      <c r="A108" s="64"/>
      <c r="B108" s="64"/>
      <c r="C108" s="64"/>
      <c r="D108" s="64"/>
      <c r="E108" s="64"/>
      <c r="F108" s="109"/>
      <c r="G108" s="108"/>
      <c r="H108" s="64"/>
      <c r="I108" s="64"/>
      <c r="J108" s="126"/>
      <c r="K108" s="64"/>
      <c r="L108" s="64"/>
      <c r="M108" s="64"/>
      <c r="N108" s="64"/>
      <c r="O108" s="109"/>
      <c r="P108" s="64"/>
      <c r="Q108" s="64"/>
      <c r="R108" s="64"/>
    </row>
    <row r="109" spans="1:18" s="65" customFormat="1" x14ac:dyDescent="0.45">
      <c r="A109" s="64"/>
      <c r="B109" s="68" t="s">
        <v>61</v>
      </c>
      <c r="C109" s="127"/>
      <c r="D109" s="69"/>
      <c r="E109" s="69"/>
      <c r="F109" s="69"/>
      <c r="G109" s="128"/>
      <c r="H109" s="64"/>
      <c r="I109" s="64"/>
      <c r="J109" s="111"/>
      <c r="K109" s="64"/>
      <c r="L109" s="64"/>
      <c r="M109" s="64"/>
      <c r="N109" s="64"/>
      <c r="O109" s="109" t="s">
        <v>120</v>
      </c>
      <c r="P109" s="64"/>
      <c r="Q109" s="64"/>
      <c r="R109" s="64"/>
    </row>
    <row r="110" spans="1:18" s="65" customFormat="1" x14ac:dyDescent="0.45">
      <c r="A110" s="64"/>
      <c r="B110" s="64"/>
      <c r="C110" s="107" t="str" cm="1">
        <f t="array" ref="C110">_xlfn.IFS($F$64=1,$D$64,$F$65=1,$D$65)</f>
        <v>Er zijn 9 woningen of minder</v>
      </c>
      <c r="D110" s="64"/>
      <c r="E110" s="64"/>
      <c r="F110" s="111"/>
      <c r="G110" s="108"/>
      <c r="H110" s="64"/>
      <c r="I110" s="64"/>
      <c r="J110" s="111"/>
      <c r="K110" s="64"/>
      <c r="L110" s="64"/>
      <c r="M110" s="64"/>
      <c r="N110" s="64"/>
      <c r="O110" s="109" t="s">
        <v>121</v>
      </c>
      <c r="P110" s="64"/>
      <c r="Q110" s="64"/>
      <c r="R110" s="64"/>
    </row>
    <row r="111" spans="1:18" s="65" customFormat="1" x14ac:dyDescent="0.45">
      <c r="A111" s="64"/>
      <c r="B111" s="119" t="s">
        <v>91</v>
      </c>
      <c r="C111" s="64" t="str" cm="1">
        <f t="array" ref="C111">_xlfn.IFS($F$64=1,E87,$F$65=1,E103)</f>
        <v>Het woningbouwplan voldoet niet aan de vereiste van minimaal 40% betaalbaar</v>
      </c>
      <c r="D111" s="64"/>
      <c r="E111" s="64"/>
      <c r="F111" s="129" t="e" cm="1">
        <f t="array" ref="F111">_xlfn.IFS($F$64=1,F87,$F$65=1,F103)</f>
        <v>#DIV/0!</v>
      </c>
      <c r="G111" s="108" t="e" cm="1">
        <f t="array" ref="G111">_xlfn.IFS($F$64=1,G87,$F$65=1,G103)</f>
        <v>#DIV/0!</v>
      </c>
      <c r="H111" s="64"/>
      <c r="I111" s="64"/>
      <c r="J111" s="64"/>
      <c r="K111" s="64"/>
      <c r="L111" s="64"/>
      <c r="M111" s="64"/>
      <c r="N111" s="64"/>
      <c r="O111" s="109"/>
      <c r="P111" s="64"/>
      <c r="Q111" s="64"/>
      <c r="R111" s="64"/>
    </row>
    <row r="112" spans="1:18" s="65" customFormat="1" x14ac:dyDescent="0.45">
      <c r="A112" s="64"/>
      <c r="B112" s="119" t="s">
        <v>92</v>
      </c>
      <c r="C112" s="64" t="str" cm="1">
        <f t="array" ref="C112">_xlfn.IFS($F$64=1,E88,$F$65=1,E104)</f>
        <v>U ontvangt subsidie</v>
      </c>
      <c r="D112" s="64"/>
      <c r="E112" s="64"/>
      <c r="F112" s="129" t="e" cm="1">
        <f t="array" ref="F112">_xlfn.IFS($F$64=1,F88,$F$65=1,F104)</f>
        <v>#DIV/0!</v>
      </c>
      <c r="G112" s="108" t="e" cm="1">
        <f t="array" ref="G112">_xlfn.IFS($F$64=1,G88,$F$65=1,G104)</f>
        <v>#DIV/0!</v>
      </c>
      <c r="H112" s="64"/>
      <c r="I112" s="64"/>
      <c r="J112" s="64"/>
      <c r="K112" s="64"/>
      <c r="L112" s="64"/>
      <c r="M112" s="64"/>
      <c r="N112" s="64"/>
      <c r="O112" s="109"/>
      <c r="P112" s="64"/>
      <c r="Q112" s="64"/>
      <c r="R112" s="64"/>
    </row>
    <row r="113" spans="1:19" s="65" customFormat="1" x14ac:dyDescent="0.45">
      <c r="A113" s="64"/>
      <c r="B113" s="119" t="s">
        <v>94</v>
      </c>
      <c r="C113" s="64" t="str" cm="1">
        <f t="array" ref="C113">_xlfn.IFS($F$64=1,E89,$F$65=1,E105)</f>
        <v>U moet afdragen</v>
      </c>
      <c r="D113" s="64"/>
      <c r="E113" s="64"/>
      <c r="F113" s="129" t="e" cm="1">
        <f t="array" ref="F113">_xlfn.IFS($F$64=1,F89,$F$65=1,F105)</f>
        <v>#DIV/0!</v>
      </c>
      <c r="G113" s="108" t="e" cm="1">
        <f t="array" ref="G113">_xlfn.IFS($F$64=1,G89,$F$65=1,G105)</f>
        <v>#DIV/0!</v>
      </c>
      <c r="H113" s="64"/>
      <c r="I113" s="64"/>
      <c r="J113" s="64"/>
      <c r="K113" s="64"/>
      <c r="L113" s="64"/>
      <c r="M113" s="64"/>
      <c r="N113" s="64"/>
      <c r="O113" s="109"/>
      <c r="P113" s="64"/>
      <c r="Q113" s="64"/>
      <c r="R113" s="64"/>
    </row>
    <row r="114" spans="1:19" s="65" customFormat="1" x14ac:dyDescent="0.45">
      <c r="A114" s="64"/>
      <c r="B114" s="119" t="s">
        <v>93</v>
      </c>
      <c r="C114" s="64" t="str" cm="1">
        <f t="array" ref="C114">_xlfn.IFS($F$64=1,E90,$F$65=1,E106)</f>
        <v>U hoeft niets te doen</v>
      </c>
      <c r="D114" s="64"/>
      <c r="E114" s="64"/>
      <c r="F114" s="129" t="e" cm="1">
        <f t="array" ref="F114">_xlfn.IFS($F$64=1,F90,$F$65=1,F106)</f>
        <v>#DIV/0!</v>
      </c>
      <c r="G114" s="108" t="e" cm="1">
        <f t="array" ref="G114">_xlfn.IFS($F$64=1,G90,$F$65=1,G106)</f>
        <v>#DIV/0!</v>
      </c>
      <c r="H114" s="64"/>
      <c r="I114" s="64"/>
      <c r="J114" s="64"/>
      <c r="K114" s="64"/>
      <c r="L114" s="64"/>
      <c r="M114" s="64"/>
      <c r="N114" s="64"/>
      <c r="O114" s="109"/>
      <c r="P114" s="64"/>
      <c r="Q114" s="64"/>
      <c r="R114" s="64"/>
    </row>
    <row r="115" spans="1:19" s="65" customFormat="1" x14ac:dyDescent="0.45">
      <c r="A115" s="64"/>
      <c r="B115" s="119" t="s">
        <v>97</v>
      </c>
      <c r="C115" s="64" t="str" cm="1">
        <f t="array" ref="C115">_xlfn.IFS($F$64=1,E91,$F$65=1,E107)</f>
        <v>Over aantal woningen</v>
      </c>
      <c r="D115" s="64"/>
      <c r="E115" s="64"/>
      <c r="F115" s="129" cm="1">
        <f t="array" ref="F115">_xlfn.IFS($F$64=1,F91,$F$65=1,F107)</f>
        <v>0</v>
      </c>
      <c r="G115" s="108" cm="1">
        <f t="array" ref="G115">_xlfn.IFS($F$64=1,G91,$F$65=1,G107)</f>
        <v>0</v>
      </c>
      <c r="H115" s="64"/>
      <c r="I115" s="64"/>
      <c r="J115" s="64"/>
      <c r="K115" s="64"/>
      <c r="L115" s="64"/>
      <c r="M115" s="64"/>
      <c r="N115" s="64"/>
      <c r="O115" s="109"/>
      <c r="P115" s="64"/>
      <c r="Q115" s="64"/>
      <c r="R115" s="64"/>
    </row>
    <row r="116" spans="1:19" s="65" customFormat="1" x14ac:dyDescent="0.45">
      <c r="A116" s="64"/>
      <c r="B116" s="64"/>
      <c r="C116" s="64"/>
      <c r="D116" s="64"/>
      <c r="E116" s="64"/>
      <c r="F116" s="109"/>
      <c r="G116" s="84"/>
      <c r="H116" s="64"/>
      <c r="I116" s="64"/>
      <c r="J116" s="111"/>
      <c r="K116" s="64"/>
      <c r="L116" s="64"/>
      <c r="M116" s="64"/>
      <c r="N116" s="64"/>
      <c r="O116" s="64"/>
      <c r="P116" s="64"/>
      <c r="Q116" s="64"/>
      <c r="R116" s="64"/>
    </row>
    <row r="117" spans="1:19" s="65" customFormat="1" ht="14.65" thickBot="1" x14ac:dyDescent="0.5">
      <c r="A117" s="64"/>
      <c r="B117" s="64"/>
      <c r="C117" s="130" t="str">
        <f>_xlfn.XLOOKUP(1,F111:F115,C111:C115,C114)</f>
        <v>U hoeft niets te doen</v>
      </c>
      <c r="D117" s="131"/>
      <c r="E117" s="131"/>
      <c r="F117" s="131"/>
      <c r="G117" s="131"/>
      <c r="H117" s="132"/>
      <c r="I117" s="133" t="e" cm="1">
        <f t="array" ref="I117">_xlfn.IFS(F113=1,I137,F112=1,I155)</f>
        <v>#DIV/0!</v>
      </c>
      <c r="J117" s="64"/>
      <c r="K117" s="64"/>
      <c r="L117" s="64"/>
      <c r="M117" s="64"/>
      <c r="N117" s="64"/>
      <c r="O117" s="109" t="s">
        <v>122</v>
      </c>
      <c r="P117" s="64"/>
      <c r="Q117" s="64"/>
      <c r="R117" s="64"/>
    </row>
    <row r="118" spans="1:19" s="65" customFormat="1" ht="14.65" thickTop="1" x14ac:dyDescent="0.45">
      <c r="A118" s="64"/>
      <c r="B118" s="64"/>
      <c r="C118" s="134" t="str">
        <f>IF(COUNTIF(M33:M49,"*")&gt;0,"Let op, het programma voldoet niet aan het geldende beleid van de gemeente Utrechtse Heuvelrug","")</f>
        <v/>
      </c>
      <c r="D118" s="64"/>
      <c r="E118" s="64"/>
      <c r="F118" s="64"/>
      <c r="G118" s="107"/>
      <c r="H118" s="84"/>
      <c r="I118" s="64"/>
      <c r="J118" s="135"/>
      <c r="K118" s="64"/>
      <c r="L118" s="64"/>
      <c r="M118" s="109"/>
      <c r="N118" s="64"/>
      <c r="O118" s="109"/>
      <c r="P118" s="64"/>
      <c r="Q118" s="64"/>
      <c r="R118" s="64"/>
    </row>
    <row r="119" spans="1:19" s="65" customFormat="1" x14ac:dyDescent="0.45">
      <c r="A119" s="64"/>
      <c r="B119" s="64"/>
      <c r="C119" s="64"/>
      <c r="D119" s="64"/>
      <c r="E119" s="64"/>
      <c r="F119" s="64"/>
      <c r="G119" s="107"/>
      <c r="H119" s="84"/>
      <c r="I119" s="64"/>
      <c r="J119" s="135"/>
      <c r="K119" s="64"/>
      <c r="L119" s="64"/>
      <c r="M119" s="109"/>
      <c r="N119" s="64"/>
      <c r="O119" s="109"/>
      <c r="P119" s="64"/>
      <c r="Q119" s="64"/>
      <c r="R119" s="64"/>
    </row>
    <row r="120" spans="1:19" s="65" customFormat="1" hidden="1" outlineLevel="1" x14ac:dyDescent="0.45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109"/>
      <c r="N120" s="64"/>
      <c r="O120" s="109"/>
      <c r="P120" s="64"/>
      <c r="Q120" s="64"/>
      <c r="R120" s="64"/>
    </row>
    <row r="121" spans="1:19" s="65" customFormat="1" hidden="1" outlineLevel="1" x14ac:dyDescent="0.45">
      <c r="A121" s="64"/>
      <c r="B121" s="103" t="s">
        <v>36</v>
      </c>
      <c r="C121" s="69"/>
      <c r="D121" s="69"/>
      <c r="E121" s="69"/>
      <c r="F121" s="69"/>
      <c r="G121" s="104" t="s">
        <v>11</v>
      </c>
      <c r="H121" s="104" t="s">
        <v>52</v>
      </c>
      <c r="I121" s="104" t="s">
        <v>68</v>
      </c>
      <c r="J121" s="64"/>
      <c r="K121" s="64"/>
      <c r="L121" s="64"/>
      <c r="M121" s="109"/>
      <c r="N121" s="64"/>
      <c r="O121" s="109"/>
      <c r="P121" s="64"/>
      <c r="Q121" s="64"/>
      <c r="R121" s="64"/>
      <c r="S121" s="64"/>
    </row>
    <row r="122" spans="1:19" s="65" customFormat="1" hidden="1" outlineLevel="1" x14ac:dyDescent="0.45">
      <c r="A122" s="64"/>
      <c r="B122" s="80"/>
      <c r="C122" s="64"/>
      <c r="D122" s="64"/>
      <c r="E122" s="64" t="s">
        <v>205</v>
      </c>
      <c r="F122" s="84" t="s">
        <v>38</v>
      </c>
      <c r="G122" s="136">
        <f>I60</f>
        <v>0</v>
      </c>
      <c r="H122" s="136">
        <f>I61</f>
        <v>0</v>
      </c>
      <c r="I122" s="64"/>
      <c r="J122" s="64"/>
      <c r="K122" s="64"/>
      <c r="L122" s="64"/>
      <c r="M122" s="109"/>
      <c r="N122" s="64"/>
      <c r="O122" s="109"/>
      <c r="P122" s="64"/>
      <c r="Q122" s="64"/>
      <c r="R122" s="64"/>
      <c r="S122" s="64"/>
    </row>
    <row r="123" spans="1:19" s="65" customFormat="1" hidden="1" outlineLevel="1" x14ac:dyDescent="0.45">
      <c r="A123" s="64"/>
      <c r="B123" s="80"/>
      <c r="C123" s="64"/>
      <c r="D123" s="64"/>
      <c r="E123" s="64" t="s">
        <v>207</v>
      </c>
      <c r="F123" s="64" t="s">
        <v>40</v>
      </c>
      <c r="G123" s="137" t="e">
        <f>IF(AND(F113=1, F64=1,H60&gt;0), H60, IF(F113=1, MAX(0, MIN(1, (H60*K59)/(K56+K59))), 0))</f>
        <v>#DIV/0!</v>
      </c>
      <c r="H123" s="137" t="e">
        <f>IF(AND(F113=1, F64=1,H61&gt;0), H61, IF(F113=1, MAX(0, MIN(1, (H61*K59)/(K56+K59))), 0))</f>
        <v>#DIV/0!</v>
      </c>
      <c r="I123" s="106"/>
      <c r="J123" s="64"/>
      <c r="K123" s="64"/>
      <c r="L123" s="64"/>
      <c r="M123" s="109"/>
      <c r="N123" s="64"/>
      <c r="O123" s="109" t="s">
        <v>171</v>
      </c>
      <c r="P123" s="64"/>
      <c r="Q123" s="64"/>
      <c r="R123" s="64"/>
      <c r="S123" s="64"/>
    </row>
    <row r="124" spans="1:19" s="65" customFormat="1" hidden="1" outlineLevel="1" x14ac:dyDescent="0.45">
      <c r="A124" s="64"/>
      <c r="B124" s="80"/>
      <c r="C124" s="64"/>
      <c r="D124" s="64"/>
      <c r="E124" s="64" t="s">
        <v>206</v>
      </c>
      <c r="F124" s="84" t="s">
        <v>38</v>
      </c>
      <c r="G124" s="136">
        <f>I57</f>
        <v>0</v>
      </c>
      <c r="H124" s="136">
        <f>I58</f>
        <v>0</v>
      </c>
      <c r="I124" s="64"/>
      <c r="J124" s="64"/>
      <c r="K124" s="64"/>
      <c r="L124" s="64"/>
      <c r="M124" s="109"/>
      <c r="N124" s="64"/>
      <c r="O124" s="109"/>
      <c r="P124" s="64"/>
      <c r="Q124" s="64"/>
      <c r="R124" s="64"/>
      <c r="S124" s="64"/>
    </row>
    <row r="125" spans="1:19" s="65" customFormat="1" hidden="1" outlineLevel="1" x14ac:dyDescent="0.45">
      <c r="A125" s="64"/>
      <c r="B125" s="80"/>
      <c r="C125" s="64"/>
      <c r="D125" s="64"/>
      <c r="E125" s="69" t="s">
        <v>208</v>
      </c>
      <c r="F125" s="127" t="s">
        <v>40</v>
      </c>
      <c r="G125" s="138" t="e">
        <f>IF(
  AND(F113=1, F64=1),
  0,
  IF(
    AND(F113=1, K59&lt;=0),
    H57,
    IF(
      F113=1,
      MAX(
        0,
        MIN(
          1,
          (H57*K56)/(K56+K59)
        )
      ),
      0
    )
  )
)</f>
        <v>#DIV/0!</v>
      </c>
      <c r="H125" s="138" t="e">
        <f>IF(
  AND(F113=1,F64=1),
  0,
  IF(
    AND(F113=1,K59&lt;=0),
    H58,
    IF(
      F113=1,
      MAX(
        0,
        MIN(
          1,
          (H58*K56)/(K56+K59)
        )
      ),
      0
    )
  )
)</f>
        <v>#DIV/0!</v>
      </c>
      <c r="I125" s="64"/>
      <c r="J125" s="64"/>
      <c r="K125" s="64"/>
      <c r="L125" s="64"/>
      <c r="M125" s="64"/>
      <c r="N125" s="64"/>
      <c r="O125" s="109" t="s">
        <v>162</v>
      </c>
      <c r="P125" s="64"/>
      <c r="Q125" s="64"/>
      <c r="R125" s="64"/>
      <c r="S125" s="64"/>
    </row>
    <row r="126" spans="1:19" s="65" customFormat="1" hidden="1" outlineLevel="1" x14ac:dyDescent="0.45">
      <c r="A126" s="64"/>
      <c r="B126" s="80"/>
      <c r="C126" s="64"/>
      <c r="D126" s="64"/>
      <c r="E126" s="64" t="s">
        <v>157</v>
      </c>
      <c r="F126" s="84" t="s">
        <v>44</v>
      </c>
      <c r="G126" s="139">
        <f>IFERROR(((G122*G123)+(G124*G125))/(G123+G125),0)</f>
        <v>0</v>
      </c>
      <c r="H126" s="139">
        <f>IFERROR(((H122*H123)+(H124*H125))/(H123+H125),0)</f>
        <v>0</v>
      </c>
      <c r="I126" s="64"/>
      <c r="J126" s="64"/>
      <c r="K126" s="64"/>
      <c r="L126" s="64"/>
      <c r="M126" s="64"/>
      <c r="N126" s="64"/>
      <c r="O126" s="109"/>
      <c r="P126" s="64"/>
      <c r="Q126" s="64"/>
      <c r="R126" s="64"/>
      <c r="S126" s="64"/>
    </row>
    <row r="127" spans="1:19" s="65" customFormat="1" hidden="1" outlineLevel="1" x14ac:dyDescent="0.45">
      <c r="A127" s="64"/>
      <c r="B127" s="80"/>
      <c r="C127" s="64"/>
      <c r="D127" s="64"/>
      <c r="E127" s="69" t="s">
        <v>41</v>
      </c>
      <c r="F127" s="140" t="s">
        <v>42</v>
      </c>
      <c r="G127" s="141">
        <f>Vereveningsfonds!$G$21</f>
        <v>0.21</v>
      </c>
      <c r="H127" s="141">
        <f>Vereveningsfonds!$G$21</f>
        <v>0.21</v>
      </c>
      <c r="I127" s="64"/>
      <c r="J127" s="64"/>
      <c r="K127" s="64"/>
      <c r="L127" s="64"/>
      <c r="M127" s="64"/>
      <c r="N127" s="64"/>
      <c r="O127" s="109"/>
      <c r="P127" s="64"/>
      <c r="Q127" s="64"/>
      <c r="R127" s="64"/>
      <c r="S127" s="64"/>
    </row>
    <row r="128" spans="1:19" s="65" customFormat="1" hidden="1" outlineLevel="1" x14ac:dyDescent="0.45">
      <c r="A128" s="64"/>
      <c r="B128" s="80"/>
      <c r="C128" s="64"/>
      <c r="D128" s="64"/>
      <c r="E128" s="64" t="s">
        <v>43</v>
      </c>
      <c r="F128" s="64" t="s">
        <v>44</v>
      </c>
      <c r="G128" s="142">
        <f>G126/(1+G127)</f>
        <v>0</v>
      </c>
      <c r="H128" s="142">
        <f>H126/(1+H127)</f>
        <v>0</v>
      </c>
      <c r="I128" s="64"/>
      <c r="J128" s="64"/>
      <c r="K128" s="64"/>
      <c r="L128" s="64"/>
      <c r="M128" s="64"/>
      <c r="N128" s="64"/>
      <c r="O128" s="109"/>
      <c r="P128" s="64"/>
      <c r="Q128" s="64"/>
      <c r="R128" s="64"/>
      <c r="S128" s="64"/>
    </row>
    <row r="129" spans="1:19" s="65" customFormat="1" hidden="1" outlineLevel="1" x14ac:dyDescent="0.45">
      <c r="A129" s="64"/>
      <c r="B129" s="80"/>
      <c r="C129" s="64"/>
      <c r="D129" s="64"/>
      <c r="E129" s="69" t="s">
        <v>33</v>
      </c>
      <c r="F129" s="69" t="s">
        <v>40</v>
      </c>
      <c r="G129" s="141">
        <f>Vereveningsfonds!$G$29</f>
        <v>0.28999999999999998</v>
      </c>
      <c r="H129" s="141">
        <f>Vereveningsfonds!$H$29</f>
        <v>0.21</v>
      </c>
      <c r="I129" s="64"/>
      <c r="J129" s="64"/>
      <c r="K129" s="64"/>
      <c r="L129" s="64"/>
      <c r="M129" s="64"/>
      <c r="N129" s="64"/>
      <c r="O129" s="109"/>
      <c r="P129" s="64"/>
      <c r="Q129" s="64"/>
      <c r="R129" s="64"/>
      <c r="S129" s="64"/>
    </row>
    <row r="130" spans="1:19" s="65" customFormat="1" hidden="1" outlineLevel="1" x14ac:dyDescent="0.45">
      <c r="A130" s="64"/>
      <c r="B130" s="80"/>
      <c r="C130" s="64"/>
      <c r="D130" s="64"/>
      <c r="E130" s="64" t="s">
        <v>105</v>
      </c>
      <c r="F130" s="143" t="s">
        <v>106</v>
      </c>
      <c r="G130" s="142">
        <f>G128*G129</f>
        <v>0</v>
      </c>
      <c r="H130" s="142">
        <f>H128*H129</f>
        <v>0</v>
      </c>
      <c r="I130" s="64"/>
      <c r="J130" s="64"/>
      <c r="K130" s="64"/>
      <c r="L130" s="64"/>
      <c r="M130" s="64"/>
      <c r="N130" s="64"/>
      <c r="O130" s="109"/>
      <c r="P130" s="64"/>
      <c r="Q130" s="64"/>
      <c r="R130" s="64"/>
      <c r="S130" s="64"/>
    </row>
    <row r="131" spans="1:19" s="65" customFormat="1" hidden="1" outlineLevel="1" x14ac:dyDescent="0.45">
      <c r="A131" s="64"/>
      <c r="B131" s="80"/>
      <c r="C131" s="64"/>
      <c r="D131" s="64"/>
      <c r="E131" s="64" t="s">
        <v>45</v>
      </c>
      <c r="F131" s="143" t="s">
        <v>12</v>
      </c>
      <c r="G131" s="144">
        <f>Vereveningsfonds!G27</f>
        <v>22500</v>
      </c>
      <c r="H131" s="144">
        <f>Vereveningsfonds!H27</f>
        <v>18600</v>
      </c>
      <c r="I131" s="64"/>
      <c r="J131" s="64"/>
      <c r="K131" s="64"/>
      <c r="L131" s="64"/>
      <c r="M131" s="64"/>
      <c r="N131" s="64"/>
      <c r="O131" s="109"/>
      <c r="P131" s="64"/>
      <c r="Q131" s="64"/>
      <c r="R131" s="64"/>
      <c r="S131" s="64"/>
    </row>
    <row r="132" spans="1:19" s="65" customFormat="1" hidden="1" outlineLevel="1" x14ac:dyDescent="0.45">
      <c r="A132" s="64"/>
      <c r="B132" s="80"/>
      <c r="C132" s="64"/>
      <c r="D132" s="64"/>
      <c r="E132" s="145" t="s">
        <v>98</v>
      </c>
      <c r="F132" s="146" t="s">
        <v>44</v>
      </c>
      <c r="G132" s="147">
        <f>IF(G128=0,0,(G128*G129)-G131)</f>
        <v>0</v>
      </c>
      <c r="H132" s="147">
        <f>IF(H128=0,0,(H128*H129)-H131)</f>
        <v>0</v>
      </c>
      <c r="I132" s="64"/>
      <c r="J132" s="64"/>
      <c r="K132" s="64"/>
      <c r="L132" s="64"/>
      <c r="M132" s="64"/>
      <c r="N132" s="64"/>
      <c r="O132" s="109"/>
      <c r="P132" s="64"/>
      <c r="Q132" s="64"/>
      <c r="R132" s="64"/>
      <c r="S132" s="64"/>
    </row>
    <row r="133" spans="1:19" s="65" customFormat="1" hidden="1" outlineLevel="1" x14ac:dyDescent="0.45">
      <c r="A133" s="64"/>
      <c r="B133" s="80"/>
      <c r="C133" s="64"/>
      <c r="D133" s="64"/>
      <c r="E133" s="64"/>
      <c r="F133" s="143"/>
      <c r="G133" s="142"/>
      <c r="H133" s="142"/>
      <c r="I133" s="64"/>
      <c r="J133" s="64"/>
      <c r="K133" s="64"/>
      <c r="L133" s="64"/>
      <c r="M133" s="64"/>
      <c r="N133" s="64"/>
      <c r="O133" s="109"/>
      <c r="P133" s="64"/>
      <c r="Q133" s="64"/>
      <c r="R133" s="64"/>
      <c r="S133" s="64"/>
    </row>
    <row r="134" spans="1:19" s="65" customFormat="1" hidden="1" outlineLevel="1" x14ac:dyDescent="0.45">
      <c r="A134" s="64"/>
      <c r="B134" s="64"/>
      <c r="C134" s="64"/>
      <c r="D134" s="64"/>
      <c r="E134" s="64" t="s">
        <v>125</v>
      </c>
      <c r="F134" s="64" t="s">
        <v>40</v>
      </c>
      <c r="G134" s="148" t="e">
        <f>G123+G125</f>
        <v>#DIV/0!</v>
      </c>
      <c r="H134" s="148" t="e">
        <f>H123+H125</f>
        <v>#DIV/0!</v>
      </c>
      <c r="I134" s="64"/>
      <c r="J134" s="149"/>
      <c r="K134" s="64"/>
      <c r="L134" s="64"/>
      <c r="M134" s="64"/>
      <c r="N134" s="64"/>
      <c r="O134" s="109"/>
      <c r="P134" s="64"/>
      <c r="Q134" s="64"/>
      <c r="R134" s="64"/>
      <c r="S134" s="64"/>
    </row>
    <row r="135" spans="1:19" s="65" customFormat="1" hidden="1" outlineLevel="1" x14ac:dyDescent="0.45">
      <c r="A135" s="64"/>
      <c r="B135" s="64"/>
      <c r="C135" s="64"/>
      <c r="D135" s="64"/>
      <c r="E135" s="64" t="s">
        <v>123</v>
      </c>
      <c r="F135" s="64" t="s">
        <v>44</v>
      </c>
      <c r="G135" s="150" t="e">
        <f>I135*G134</f>
        <v>#DIV/0!</v>
      </c>
      <c r="H135" s="150" t="e">
        <f>H134*I135</f>
        <v>#DIV/0!</v>
      </c>
      <c r="I135" s="151" t="e">
        <f>IF(F113=1,G115,0)</f>
        <v>#DIV/0!</v>
      </c>
      <c r="J135" s="64"/>
      <c r="K135" s="64"/>
      <c r="L135" s="64"/>
      <c r="M135" s="64"/>
      <c r="N135" s="64"/>
      <c r="O135" s="109" t="s">
        <v>129</v>
      </c>
      <c r="P135" s="64"/>
      <c r="Q135" s="64"/>
      <c r="R135" s="64"/>
      <c r="S135" s="64"/>
    </row>
    <row r="136" spans="1:19" s="65" customFormat="1" hidden="1" outlineLevel="1" x14ac:dyDescent="0.45">
      <c r="A136" s="64"/>
      <c r="B136" s="64"/>
      <c r="C136" s="64"/>
      <c r="D136" s="64"/>
      <c r="E136" s="152" t="s">
        <v>66</v>
      </c>
      <c r="F136" s="145" t="s">
        <v>44</v>
      </c>
      <c r="G136" s="153" t="e">
        <f>G132*G135</f>
        <v>#DIV/0!</v>
      </c>
      <c r="H136" s="153" t="e">
        <f>H135*H132</f>
        <v>#DIV/0!</v>
      </c>
      <c r="I136" s="152"/>
      <c r="J136" s="64"/>
      <c r="K136" s="64"/>
      <c r="L136" s="64"/>
      <c r="M136" s="64"/>
      <c r="N136" s="64"/>
      <c r="O136" s="109"/>
      <c r="P136" s="64"/>
      <c r="Q136" s="64"/>
      <c r="R136" s="64"/>
      <c r="S136" s="64"/>
    </row>
    <row r="137" spans="1:19" s="65" customFormat="1" hidden="1" outlineLevel="1" x14ac:dyDescent="0.45">
      <c r="A137" s="64"/>
      <c r="B137" s="64"/>
      <c r="C137" s="64"/>
      <c r="D137" s="64"/>
      <c r="E137" s="88" t="s">
        <v>124</v>
      </c>
      <c r="F137" s="64"/>
      <c r="G137" s="64"/>
      <c r="H137" s="64"/>
      <c r="I137" s="154" t="e">
        <f>SUM(G136:H136)</f>
        <v>#DIV/0!</v>
      </c>
      <c r="J137" s="64"/>
      <c r="K137" s="64"/>
      <c r="L137" s="64"/>
      <c r="M137" s="64"/>
      <c r="N137" s="64"/>
      <c r="O137" s="109"/>
      <c r="P137" s="64"/>
      <c r="Q137" s="64"/>
      <c r="R137" s="64"/>
      <c r="S137" s="64"/>
    </row>
    <row r="138" spans="1:19" s="65" customFormat="1" hidden="1" outlineLevel="1" x14ac:dyDescent="0.45">
      <c r="A138" s="64"/>
      <c r="B138" s="64"/>
      <c r="C138" s="88"/>
      <c r="D138" s="88"/>
      <c r="E138" s="88"/>
      <c r="F138" s="155"/>
      <c r="G138" s="64"/>
      <c r="H138" s="64"/>
      <c r="I138" s="64"/>
      <c r="J138" s="64"/>
      <c r="K138" s="64"/>
      <c r="L138" s="64"/>
      <c r="M138" s="64"/>
      <c r="N138" s="64"/>
      <c r="O138" s="109"/>
      <c r="P138" s="64"/>
      <c r="Q138" s="64"/>
      <c r="R138" s="64"/>
      <c r="S138" s="64"/>
    </row>
    <row r="139" spans="1:19" s="65" customFormat="1" hidden="1" outlineLevel="1" x14ac:dyDescent="0.45">
      <c r="A139" s="64"/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109"/>
      <c r="P139" s="64"/>
      <c r="Q139" s="64"/>
      <c r="R139" s="64"/>
      <c r="S139" s="64"/>
    </row>
    <row r="140" spans="1:19" s="65" customFormat="1" hidden="1" outlineLevel="1" x14ac:dyDescent="0.45">
      <c r="A140" s="64"/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109"/>
      <c r="P140" s="64"/>
      <c r="Q140" s="64"/>
      <c r="R140" s="64"/>
      <c r="S140" s="64"/>
    </row>
    <row r="141" spans="1:19" s="65" customFormat="1" hidden="1" outlineLevel="1" x14ac:dyDescent="0.45">
      <c r="A141" s="64"/>
      <c r="B141" s="103" t="s">
        <v>46</v>
      </c>
      <c r="C141" s="69"/>
      <c r="D141" s="69"/>
      <c r="E141" s="69"/>
      <c r="F141" s="69"/>
      <c r="G141" s="104" t="s">
        <v>11</v>
      </c>
      <c r="H141" s="104" t="s">
        <v>52</v>
      </c>
      <c r="I141" s="104" t="s">
        <v>68</v>
      </c>
      <c r="J141" s="64"/>
      <c r="K141" s="64"/>
      <c r="L141" s="64"/>
      <c r="M141" s="64"/>
      <c r="N141" s="64"/>
      <c r="O141" s="109"/>
      <c r="P141" s="64"/>
      <c r="Q141" s="64"/>
      <c r="R141" s="64"/>
      <c r="S141" s="64"/>
    </row>
    <row r="142" spans="1:19" s="65" customFormat="1" hidden="1" outlineLevel="1" x14ac:dyDescent="0.45">
      <c r="A142" s="64"/>
      <c r="B142" s="80"/>
      <c r="C142" s="64"/>
      <c r="D142" s="64"/>
      <c r="E142" s="64" t="s">
        <v>35</v>
      </c>
      <c r="F142" s="143" t="s">
        <v>38</v>
      </c>
      <c r="G142" s="156">
        <f>$G$18</f>
        <v>405000</v>
      </c>
      <c r="H142" s="156">
        <f>$G$18</f>
        <v>405000</v>
      </c>
      <c r="I142" s="64"/>
      <c r="J142" s="64"/>
      <c r="K142" s="64"/>
      <c r="L142" s="64"/>
      <c r="M142" s="64"/>
      <c r="N142" s="64"/>
      <c r="O142" s="109"/>
      <c r="P142" s="64"/>
      <c r="Q142" s="64"/>
      <c r="R142" s="64"/>
      <c r="S142" s="64"/>
    </row>
    <row r="143" spans="1:19" s="65" customFormat="1" hidden="1" outlineLevel="1" x14ac:dyDescent="0.45">
      <c r="A143" s="64"/>
      <c r="B143" s="80"/>
      <c r="C143" s="64"/>
      <c r="D143" s="64"/>
      <c r="E143" s="69" t="s">
        <v>41</v>
      </c>
      <c r="F143" s="140" t="s">
        <v>42</v>
      </c>
      <c r="G143" s="157">
        <f t="shared" ref="G143:H143" si="1">$G$21</f>
        <v>0.21</v>
      </c>
      <c r="H143" s="157">
        <f t="shared" si="1"/>
        <v>0.21</v>
      </c>
      <c r="I143" s="64"/>
      <c r="J143" s="64"/>
      <c r="K143" s="64"/>
      <c r="L143" s="64"/>
      <c r="M143" s="64"/>
      <c r="N143" s="64"/>
      <c r="O143" s="109"/>
      <c r="P143" s="64"/>
      <c r="Q143" s="64"/>
      <c r="R143" s="64"/>
      <c r="S143" s="64"/>
    </row>
    <row r="144" spans="1:19" s="65" customFormat="1" hidden="1" outlineLevel="1" x14ac:dyDescent="0.45">
      <c r="A144" s="64"/>
      <c r="B144" s="80"/>
      <c r="C144" s="64"/>
      <c r="D144" s="64"/>
      <c r="E144" s="64" t="s">
        <v>99</v>
      </c>
      <c r="F144" s="64" t="s">
        <v>44</v>
      </c>
      <c r="G144" s="158">
        <f t="shared" ref="G144:H144" si="2">G142/(1+G143)</f>
        <v>334710.74380165292</v>
      </c>
      <c r="H144" s="158">
        <f t="shared" si="2"/>
        <v>334710.74380165292</v>
      </c>
      <c r="I144" s="64"/>
      <c r="J144" s="64"/>
      <c r="K144" s="64"/>
      <c r="L144" s="64"/>
      <c r="M144" s="64"/>
      <c r="N144" s="64"/>
      <c r="O144" s="109"/>
      <c r="P144" s="64"/>
      <c r="Q144" s="64"/>
      <c r="R144" s="64"/>
      <c r="S144" s="64"/>
    </row>
    <row r="145" spans="1:19" s="65" customFormat="1" hidden="1" outlineLevel="1" x14ac:dyDescent="0.45">
      <c r="A145" s="64"/>
      <c r="B145" s="80"/>
      <c r="C145" s="64"/>
      <c r="D145" s="64"/>
      <c r="E145" s="64"/>
      <c r="F145" s="64"/>
      <c r="G145" s="158"/>
      <c r="H145" s="158"/>
      <c r="I145" s="64"/>
      <c r="J145" s="64"/>
      <c r="K145" s="64"/>
      <c r="L145" s="64"/>
      <c r="M145" s="64"/>
      <c r="N145" s="64"/>
      <c r="O145" s="109"/>
      <c r="P145" s="64"/>
      <c r="Q145" s="64"/>
      <c r="R145" s="64"/>
      <c r="S145" s="64"/>
    </row>
    <row r="146" spans="1:19" s="65" customFormat="1" hidden="1" outlineLevel="1" x14ac:dyDescent="0.45">
      <c r="A146" s="64"/>
      <c r="B146" s="80"/>
      <c r="C146" s="64"/>
      <c r="D146" s="64"/>
      <c r="E146" s="69" t="s">
        <v>33</v>
      </c>
      <c r="F146" s="69" t="s">
        <v>100</v>
      </c>
      <c r="G146" s="159">
        <f>G29</f>
        <v>0.28999999999999998</v>
      </c>
      <c r="H146" s="159">
        <f>H29</f>
        <v>0.21</v>
      </c>
      <c r="I146" s="64"/>
      <c r="J146" s="64"/>
      <c r="K146" s="64"/>
      <c r="L146" s="64"/>
      <c r="M146" s="64"/>
      <c r="N146" s="64"/>
      <c r="O146" s="109"/>
      <c r="P146" s="64"/>
      <c r="Q146" s="64"/>
      <c r="R146" s="64"/>
      <c r="S146" s="64"/>
    </row>
    <row r="147" spans="1:19" s="65" customFormat="1" hidden="1" outlineLevel="1" x14ac:dyDescent="0.45">
      <c r="A147" s="64"/>
      <c r="B147" s="80"/>
      <c r="C147" s="64"/>
      <c r="D147" s="64"/>
      <c r="E147" s="64" t="s">
        <v>101</v>
      </c>
      <c r="F147" s="64" t="s">
        <v>44</v>
      </c>
      <c r="G147" s="158">
        <f>G144*G146</f>
        <v>97066.115702479336</v>
      </c>
      <c r="H147" s="158">
        <f>H144*H146</f>
        <v>70289.25619834711</v>
      </c>
      <c r="I147" s="64"/>
      <c r="J147" s="64"/>
      <c r="K147" s="64"/>
      <c r="L147" s="64"/>
      <c r="M147" s="64"/>
      <c r="N147" s="64"/>
      <c r="O147" s="109"/>
      <c r="P147" s="64"/>
      <c r="Q147" s="64"/>
      <c r="R147" s="64"/>
      <c r="S147" s="64"/>
    </row>
    <row r="148" spans="1:19" s="65" customFormat="1" hidden="1" outlineLevel="1" x14ac:dyDescent="0.45">
      <c r="A148" s="64"/>
      <c r="B148" s="80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109"/>
      <c r="P148" s="64"/>
      <c r="Q148" s="64"/>
      <c r="R148" s="64"/>
      <c r="S148" s="64"/>
    </row>
    <row r="149" spans="1:19" s="65" customFormat="1" hidden="1" outlineLevel="1" x14ac:dyDescent="0.45">
      <c r="A149" s="64"/>
      <c r="B149" s="80"/>
      <c r="C149" s="64"/>
      <c r="D149" s="64"/>
      <c r="E149" s="64" t="s">
        <v>102</v>
      </c>
      <c r="F149" s="143" t="s">
        <v>103</v>
      </c>
      <c r="G149" s="156">
        <f>G27</f>
        <v>22500</v>
      </c>
      <c r="H149" s="156">
        <f>H27</f>
        <v>18600</v>
      </c>
      <c r="I149" s="64"/>
      <c r="J149" s="64"/>
      <c r="K149" s="64"/>
      <c r="L149" s="64"/>
      <c r="M149" s="64"/>
      <c r="N149" s="64"/>
      <c r="O149" s="109"/>
      <c r="P149" s="64"/>
      <c r="Q149" s="64"/>
      <c r="R149" s="64"/>
      <c r="S149" s="64"/>
    </row>
    <row r="150" spans="1:19" s="65" customFormat="1" hidden="1" outlineLevel="1" x14ac:dyDescent="0.45">
      <c r="A150" s="64"/>
      <c r="B150" s="80"/>
      <c r="C150" s="64"/>
      <c r="D150" s="64"/>
      <c r="E150" s="145" t="s">
        <v>104</v>
      </c>
      <c r="F150" s="145" t="s">
        <v>44</v>
      </c>
      <c r="G150" s="160">
        <f>G147-G149</f>
        <v>74566.115702479336</v>
      </c>
      <c r="H150" s="160">
        <f>H147-H149</f>
        <v>51689.25619834711</v>
      </c>
      <c r="I150" s="64"/>
      <c r="J150" s="64"/>
      <c r="K150" s="64"/>
      <c r="L150" s="64"/>
      <c r="M150" s="64"/>
      <c r="N150" s="64"/>
      <c r="O150" s="109"/>
      <c r="P150" s="64"/>
      <c r="Q150" s="64"/>
      <c r="R150" s="64"/>
      <c r="S150" s="64"/>
    </row>
    <row r="151" spans="1:19" s="65" customFormat="1" hidden="1" outlineLevel="1" x14ac:dyDescent="0.45">
      <c r="A151" s="64"/>
      <c r="B151" s="80"/>
      <c r="C151" s="64"/>
      <c r="D151" s="64"/>
      <c r="E151" s="64"/>
      <c r="F151" s="64"/>
      <c r="G151" s="158"/>
      <c r="H151" s="158"/>
      <c r="I151" s="64"/>
      <c r="J151" s="64"/>
      <c r="K151" s="64"/>
      <c r="L151" s="64"/>
      <c r="M151" s="64"/>
      <c r="N151" s="64"/>
      <c r="O151" s="109"/>
      <c r="P151" s="64"/>
      <c r="Q151" s="64"/>
      <c r="R151" s="64"/>
      <c r="S151" s="64"/>
    </row>
    <row r="152" spans="1:19" s="65" customFormat="1" hidden="1" outlineLevel="1" x14ac:dyDescent="0.45">
      <c r="A152" s="64"/>
      <c r="B152" s="80"/>
      <c r="C152" s="64"/>
      <c r="D152" s="64"/>
      <c r="E152" s="64" t="s">
        <v>125</v>
      </c>
      <c r="F152" s="64" t="s">
        <v>40</v>
      </c>
      <c r="G152" s="161">
        <f>H54</f>
        <v>0</v>
      </c>
      <c r="H152" s="161">
        <f>H55</f>
        <v>0</v>
      </c>
      <c r="I152" s="64"/>
      <c r="J152" s="64"/>
      <c r="K152" s="64"/>
      <c r="L152" s="64"/>
      <c r="M152" s="64"/>
      <c r="N152" s="64"/>
      <c r="O152" s="109"/>
      <c r="P152" s="64"/>
      <c r="Q152" s="64"/>
      <c r="R152" s="64"/>
      <c r="S152" s="64"/>
    </row>
    <row r="153" spans="1:19" s="65" customFormat="1" hidden="1" outlineLevel="1" x14ac:dyDescent="0.45">
      <c r="A153" s="64"/>
      <c r="B153" s="80"/>
      <c r="C153" s="64"/>
      <c r="D153" s="64"/>
      <c r="E153" s="64" t="s">
        <v>126</v>
      </c>
      <c r="F153" s="64" t="s">
        <v>44</v>
      </c>
      <c r="G153" s="117" t="e">
        <f>I153*G152</f>
        <v>#DIV/0!</v>
      </c>
      <c r="H153" s="117" t="e">
        <f>I153*H152</f>
        <v>#DIV/0!</v>
      </c>
      <c r="I153" s="162" t="e">
        <f>IF(F112 = 1, G115, 0)</f>
        <v>#DIV/0!</v>
      </c>
      <c r="J153" s="64"/>
      <c r="K153" s="64"/>
      <c r="L153" s="64"/>
      <c r="M153" s="64"/>
      <c r="N153" s="64"/>
      <c r="O153" s="109" t="s">
        <v>128</v>
      </c>
      <c r="P153" s="64"/>
      <c r="Q153" s="64"/>
      <c r="R153" s="64"/>
      <c r="S153" s="64"/>
    </row>
    <row r="154" spans="1:19" s="65" customFormat="1" hidden="1" outlineLevel="1" x14ac:dyDescent="0.45">
      <c r="A154" s="64"/>
      <c r="B154" s="64"/>
      <c r="C154" s="64"/>
      <c r="D154" s="64"/>
      <c r="E154" s="69" t="s">
        <v>69</v>
      </c>
      <c r="F154" s="140" t="s">
        <v>44</v>
      </c>
      <c r="G154" s="163" t="e">
        <f>G150*G153</f>
        <v>#DIV/0!</v>
      </c>
      <c r="H154" s="163" t="e">
        <f>H150*H153</f>
        <v>#DIV/0!</v>
      </c>
      <c r="I154" s="69"/>
      <c r="J154" s="64"/>
      <c r="K154" s="64"/>
      <c r="L154" s="64"/>
      <c r="M154" s="64"/>
      <c r="N154" s="64"/>
      <c r="O154" s="109"/>
      <c r="P154" s="64"/>
      <c r="Q154" s="64"/>
      <c r="R154" s="64"/>
      <c r="S154" s="64"/>
    </row>
    <row r="155" spans="1:19" s="65" customFormat="1" hidden="1" outlineLevel="1" x14ac:dyDescent="0.45">
      <c r="A155" s="64"/>
      <c r="B155" s="64"/>
      <c r="C155" s="64"/>
      <c r="D155" s="64"/>
      <c r="E155" s="88" t="s">
        <v>135</v>
      </c>
      <c r="F155" s="64"/>
      <c r="G155" s="64"/>
      <c r="H155" s="64"/>
      <c r="I155" s="164" t="e">
        <f>SUM(G154:H154)</f>
        <v>#DIV/0!</v>
      </c>
      <c r="J155" s="64"/>
      <c r="K155" s="64"/>
      <c r="L155" s="64"/>
      <c r="M155" s="64"/>
      <c r="N155" s="64"/>
      <c r="O155" s="109"/>
      <c r="P155" s="64"/>
      <c r="Q155" s="64"/>
      <c r="R155" s="64"/>
      <c r="S155" s="64"/>
    </row>
    <row r="156" spans="1:19" hidden="1" outlineLevel="1" x14ac:dyDescent="0.45">
      <c r="O156" s="109"/>
    </row>
    <row r="157" spans="1:19" hidden="1" outlineLevel="1" collapsed="1" x14ac:dyDescent="0.45">
      <c r="B157" s="68" t="e" cm="1">
        <f t="array" ref="B157">_xlfn.IFS($F$112=1,B141,$F$113=1,B121,$F$114=1,"")</f>
        <v>#DIV/0!</v>
      </c>
      <c r="C157" s="69"/>
      <c r="D157" s="69"/>
      <c r="F157" s="69"/>
      <c r="G157" s="77" t="e" cm="1">
        <f t="array" ref="G157">_xlfn.IFS($F$112=1,G141,$F$113=1,G121,$F$114=1,"")</f>
        <v>#DIV/0!</v>
      </c>
      <c r="H157" s="77" t="e" cm="1">
        <f t="array" ref="H157">_xlfn.IFS($F$112=1,H141,$F$113=1,H121,$F$114=1,"")</f>
        <v>#DIV/0!</v>
      </c>
      <c r="I157" s="77" t="e" cm="1">
        <f t="array" ref="I157">_xlfn.IFS($F$112=1,I141,$F$113=1,I121,$F$114=1,"")</f>
        <v>#DIV/0!</v>
      </c>
      <c r="O157" s="109"/>
    </row>
    <row r="158" spans="1:19" hidden="1" outlineLevel="1" x14ac:dyDescent="0.45">
      <c r="B158" s="80"/>
      <c r="E158" s="64" t="e" cm="1">
        <f t="array" ref="E158">_xlfn.IFS($F$112=1,E142:I155,$F$113=1,E122:I137,$F$114=1,"")</f>
        <v>#DIV/0!</v>
      </c>
      <c r="G158" s="165"/>
      <c r="H158" s="165"/>
      <c r="I158" s="85"/>
    </row>
    <row r="159" spans="1:19" hidden="1" outlineLevel="1" x14ac:dyDescent="0.45">
      <c r="B159" s="80"/>
      <c r="G159" s="166"/>
      <c r="H159" s="166"/>
      <c r="I159" s="85"/>
    </row>
    <row r="160" spans="1:19" hidden="1" outlineLevel="1" x14ac:dyDescent="0.45">
      <c r="B160" s="80"/>
      <c r="G160" s="165"/>
      <c r="H160" s="165"/>
      <c r="I160" s="85"/>
    </row>
    <row r="161" spans="2:10" hidden="1" outlineLevel="1" x14ac:dyDescent="0.45">
      <c r="B161" s="80"/>
      <c r="E161" s="69"/>
      <c r="F161" s="69"/>
      <c r="G161" s="167"/>
      <c r="H161" s="167"/>
      <c r="I161" s="85"/>
    </row>
    <row r="162" spans="2:10" hidden="1" outlineLevel="1" x14ac:dyDescent="0.45">
      <c r="B162" s="80"/>
      <c r="G162" s="168"/>
      <c r="H162" s="168"/>
      <c r="I162" s="85"/>
    </row>
    <row r="163" spans="2:10" hidden="1" outlineLevel="1" x14ac:dyDescent="0.45">
      <c r="B163" s="80"/>
      <c r="E163" s="69"/>
      <c r="F163" s="69"/>
      <c r="G163" s="167"/>
      <c r="H163" s="167"/>
      <c r="I163" s="85"/>
    </row>
    <row r="164" spans="2:10" hidden="1" outlineLevel="1" x14ac:dyDescent="0.45">
      <c r="B164" s="80"/>
      <c r="G164" s="169"/>
      <c r="H164" s="169"/>
      <c r="I164" s="85"/>
    </row>
    <row r="165" spans="2:10" hidden="1" outlineLevel="1" x14ac:dyDescent="0.45">
      <c r="B165" s="80"/>
      <c r="E165" s="69"/>
      <c r="F165" s="69"/>
      <c r="G165" s="167"/>
      <c r="H165" s="167"/>
      <c r="I165" s="85"/>
    </row>
    <row r="166" spans="2:10" hidden="1" outlineLevel="1" x14ac:dyDescent="0.45">
      <c r="B166" s="80"/>
      <c r="G166" s="165"/>
      <c r="H166" s="165"/>
      <c r="I166" s="85"/>
    </row>
    <row r="167" spans="2:10" hidden="1" outlineLevel="1" x14ac:dyDescent="0.45">
      <c r="B167" s="80"/>
      <c r="E167" s="69"/>
      <c r="F167" s="69"/>
      <c r="G167" s="170"/>
      <c r="H167" s="170"/>
      <c r="I167" s="85"/>
    </row>
    <row r="168" spans="2:10" hidden="1" outlineLevel="1" x14ac:dyDescent="0.45">
      <c r="B168" s="80"/>
      <c r="E168" s="88"/>
      <c r="F168" s="88"/>
      <c r="G168" s="171"/>
      <c r="H168" s="171"/>
      <c r="I168" s="85"/>
    </row>
    <row r="169" spans="2:10" hidden="1" outlineLevel="1" x14ac:dyDescent="0.45">
      <c r="B169" s="80"/>
      <c r="E169" s="129"/>
      <c r="F169" s="129"/>
      <c r="G169" s="172"/>
      <c r="H169" s="172"/>
      <c r="I169" s="85"/>
    </row>
    <row r="170" spans="2:10" hidden="1" outlineLevel="1" x14ac:dyDescent="0.45">
      <c r="B170" s="80"/>
      <c r="E170" s="69"/>
      <c r="F170" s="69"/>
      <c r="G170" s="173"/>
      <c r="H170" s="173"/>
      <c r="I170" s="85"/>
    </row>
    <row r="171" spans="2:10" hidden="1" outlineLevel="1" x14ac:dyDescent="0.45">
      <c r="B171" s="80"/>
      <c r="C171" s="80"/>
      <c r="D171" s="80"/>
      <c r="F171" s="174"/>
      <c r="G171" s="175"/>
      <c r="H171" s="175"/>
      <c r="I171" s="176"/>
    </row>
    <row r="172" spans="2:10" ht="14.65" hidden="1" outlineLevel="1" thickBot="1" x14ac:dyDescent="0.5">
      <c r="B172" s="80"/>
      <c r="C172" s="80"/>
      <c r="D172" s="80"/>
      <c r="E172" s="177"/>
      <c r="F172" s="178"/>
      <c r="G172" s="179"/>
      <c r="H172" s="179"/>
      <c r="I172" s="180"/>
    </row>
    <row r="173" spans="2:10" ht="14.65" hidden="1" outlineLevel="1" thickTop="1" x14ac:dyDescent="0.45">
      <c r="B173" s="80"/>
      <c r="C173" s="80"/>
      <c r="D173" s="80"/>
      <c r="E173" s="88"/>
      <c r="F173" s="174"/>
      <c r="G173" s="129"/>
      <c r="H173" s="129"/>
      <c r="I173" s="154"/>
    </row>
    <row r="174" spans="2:10" collapsed="1" x14ac:dyDescent="0.45">
      <c r="B174" s="80"/>
      <c r="C174" s="80"/>
      <c r="D174" s="80"/>
      <c r="E174" s="80"/>
      <c r="F174" s="80"/>
      <c r="G174" s="80"/>
      <c r="H174" s="80"/>
      <c r="I174" s="80"/>
      <c r="J174" s="80"/>
    </row>
    <row r="175" spans="2:10" x14ac:dyDescent="0.45">
      <c r="B175" s="80"/>
      <c r="C175" s="80"/>
      <c r="D175" s="80"/>
      <c r="E175" s="80"/>
      <c r="F175" s="80"/>
      <c r="G175" s="80"/>
      <c r="H175" s="80"/>
      <c r="I175" s="80"/>
      <c r="J175" s="80"/>
    </row>
    <row r="176" spans="2:10" x14ac:dyDescent="0.45">
      <c r="B176" s="80"/>
      <c r="C176" s="80"/>
      <c r="D176" s="80"/>
      <c r="E176" s="80"/>
      <c r="F176" s="80"/>
      <c r="G176" s="80"/>
      <c r="H176" s="80"/>
      <c r="I176" s="80"/>
      <c r="J176" s="80"/>
    </row>
    <row r="177" s="64" customFormat="1" x14ac:dyDescent="0.45"/>
    <row r="178" s="64" customFormat="1" x14ac:dyDescent="0.45"/>
    <row r="179" s="64" customFormat="1" x14ac:dyDescent="0.45"/>
    <row r="180" s="64" customFormat="1" x14ac:dyDescent="0.45"/>
    <row r="181" s="64" customFormat="1" x14ac:dyDescent="0.45"/>
    <row r="182" s="64" customFormat="1" x14ac:dyDescent="0.45"/>
    <row r="183" s="64" customFormat="1" x14ac:dyDescent="0.45"/>
    <row r="184" s="64" customFormat="1" x14ac:dyDescent="0.45"/>
  </sheetData>
  <sheetProtection algorithmName="SHA-512" hashValue="gx4vJRtq26LcsBpzvWP1HMypqn3Ckbq/HtVF6y0mksXH23JuuzCki06gJZEEPZKQVqxgeAYWK9FAR/H6vuPaxg==" saltValue="PwTyDnypJJX/O6WdlQ4fuQ==" spinCount="100000" sheet="1" objects="1" scenarios="1"/>
  <phoneticPr fontId="7" type="noConversion"/>
  <conditionalFormatting sqref="A157 C157:F157 A158:I173">
    <cfRule type="expression" dxfId="67" priority="16">
      <formula>$G$114=TRUE</formula>
    </cfRule>
  </conditionalFormatting>
  <conditionalFormatting sqref="B52:R184">
    <cfRule type="expression" dxfId="66" priority="15">
      <formula>$K$50=0</formula>
    </cfRule>
  </conditionalFormatting>
  <conditionalFormatting sqref="C157:F157 B158:I173">
    <cfRule type="expression" dxfId="65" priority="32">
      <formula>$F$111=1</formula>
    </cfRule>
  </conditionalFormatting>
  <conditionalFormatting sqref="E171">
    <cfRule type="expression" dxfId="64" priority="55">
      <formula>$F$112=1</formula>
    </cfRule>
  </conditionalFormatting>
  <conditionalFormatting sqref="E161:H161">
    <cfRule type="expression" dxfId="63" priority="38">
      <formula>$F$112=1</formula>
    </cfRule>
  </conditionalFormatting>
  <conditionalFormatting sqref="E162:H162">
    <cfRule type="expression" dxfId="62" priority="37">
      <formula>$F$112=1</formula>
    </cfRule>
  </conditionalFormatting>
  <conditionalFormatting sqref="E164:H164">
    <cfRule type="expression" dxfId="61" priority="48">
      <formula>$F$112=1</formula>
    </cfRule>
  </conditionalFormatting>
  <conditionalFormatting sqref="E165:H165">
    <cfRule type="expression" dxfId="60" priority="40">
      <formula>$F$112=1</formula>
    </cfRule>
  </conditionalFormatting>
  <conditionalFormatting sqref="E167:H167">
    <cfRule type="expression" dxfId="59" priority="36">
      <formula>$F$112=1</formula>
    </cfRule>
  </conditionalFormatting>
  <conditionalFormatting sqref="E168:H168">
    <cfRule type="expression" dxfId="58" priority="42">
      <formula>$F$112=1</formula>
    </cfRule>
  </conditionalFormatting>
  <conditionalFormatting sqref="E169:I169">
    <cfRule type="expression" dxfId="57" priority="51">
      <formula>$F$112=1</formula>
    </cfRule>
  </conditionalFormatting>
  <conditionalFormatting sqref="E172:I174">
    <cfRule type="expression" dxfId="56" priority="54">
      <formula>$F$112=1</formula>
    </cfRule>
  </conditionalFormatting>
  <conditionalFormatting sqref="G154:H154">
    <cfRule type="expression" dxfId="55" priority="197">
      <formula>$I$137&gt;0</formula>
    </cfRule>
  </conditionalFormatting>
  <conditionalFormatting sqref="G163:H163">
    <cfRule type="expression" dxfId="54" priority="49">
      <formula>$F$112=1</formula>
    </cfRule>
  </conditionalFormatting>
  <conditionalFormatting sqref="G165:H165">
    <cfRule type="expression" dxfId="53" priority="47">
      <formula>$F$112=1</formula>
    </cfRule>
  </conditionalFormatting>
  <conditionalFormatting sqref="G168:H168">
    <cfRule type="expression" dxfId="52" priority="35">
      <formula>$F$112=1</formula>
    </cfRule>
  </conditionalFormatting>
  <conditionalFormatting sqref="G169:H169">
    <cfRule type="expression" dxfId="51" priority="44">
      <formula>$F$112=1</formula>
    </cfRule>
  </conditionalFormatting>
  <conditionalFormatting sqref="G170:H170">
    <cfRule type="expression" dxfId="50" priority="43">
      <formula>$F$112=1</formula>
    </cfRule>
  </conditionalFormatting>
  <conditionalFormatting sqref="G171:H171">
    <cfRule type="expression" dxfId="49" priority="50">
      <formula>$F$112=1</formula>
    </cfRule>
  </conditionalFormatting>
  <conditionalFormatting sqref="H34">
    <cfRule type="expression" dxfId="48" priority="8">
      <formula>AND(G34&gt;0,ISBLANK(H34))</formula>
    </cfRule>
  </conditionalFormatting>
  <conditionalFormatting sqref="H36">
    <cfRule type="expression" dxfId="47" priority="9">
      <formula>AND(G36&gt;0,ISBLANK(H36))</formula>
    </cfRule>
  </conditionalFormatting>
  <conditionalFormatting sqref="H38">
    <cfRule type="expression" dxfId="46" priority="5">
      <formula>AND(G38&gt;0,ISBLANK(H38))</formula>
    </cfRule>
  </conditionalFormatting>
  <conditionalFormatting sqref="H40">
    <cfRule type="expression" dxfId="45" priority="4">
      <formula>AND(G40&gt;0,ISBLANK(H40))</formula>
    </cfRule>
  </conditionalFormatting>
  <conditionalFormatting sqref="H117:I117">
    <cfRule type="expression" dxfId="44" priority="14">
      <formula>$G$114=TRUE</formula>
    </cfRule>
    <cfRule type="expression" dxfId="43" priority="31">
      <formula>$F$111=1</formula>
    </cfRule>
  </conditionalFormatting>
  <conditionalFormatting sqref="I33">
    <cfRule type="expression" dxfId="42" priority="6">
      <formula>$K$33="Sociaal"</formula>
    </cfRule>
  </conditionalFormatting>
  <conditionalFormatting sqref="I34">
    <cfRule type="expression" dxfId="41" priority="7">
      <formula>$K$34="Sociaal"</formula>
    </cfRule>
  </conditionalFormatting>
  <conditionalFormatting sqref="I35">
    <cfRule type="expression" dxfId="40" priority="10">
      <formula>$K$35="Sociaal"</formula>
    </cfRule>
  </conditionalFormatting>
  <conditionalFormatting sqref="I36">
    <cfRule type="expression" dxfId="39" priority="3">
      <formula>$K$36="Sociaal"</formula>
    </cfRule>
  </conditionalFormatting>
  <conditionalFormatting sqref="I37">
    <cfRule type="expression" dxfId="38" priority="11">
      <formula>$K$37="Sociaal"</formula>
    </cfRule>
  </conditionalFormatting>
  <conditionalFormatting sqref="I38">
    <cfRule type="expression" dxfId="37" priority="1">
      <formula>$K$38="Sociaal"</formula>
    </cfRule>
  </conditionalFormatting>
  <conditionalFormatting sqref="I39">
    <cfRule type="expression" dxfId="36" priority="2">
      <formula>$K$39="Sociaal"</formula>
    </cfRule>
  </conditionalFormatting>
  <conditionalFormatting sqref="I40">
    <cfRule type="expression" dxfId="35" priority="12">
      <formula>$K$40="Sociaal"</formula>
    </cfRule>
  </conditionalFormatting>
  <conditionalFormatting sqref="I41">
    <cfRule type="expression" dxfId="34" priority="202">
      <formula>$K$41="Sociaal"</formula>
    </cfRule>
  </conditionalFormatting>
  <conditionalFormatting sqref="I42">
    <cfRule type="expression" dxfId="33" priority="203">
      <formula>$K$42="Sociaal"</formula>
    </cfRule>
  </conditionalFormatting>
  <conditionalFormatting sqref="I43">
    <cfRule type="expression" dxfId="32" priority="204">
      <formula>$K$43="Sociaal"</formula>
    </cfRule>
  </conditionalFormatting>
  <conditionalFormatting sqref="I44">
    <cfRule type="expression" dxfId="31" priority="205">
      <formula>$K$44="Sociaal"</formula>
    </cfRule>
  </conditionalFormatting>
  <conditionalFormatting sqref="I45">
    <cfRule type="expression" dxfId="30" priority="206">
      <formula>$K$45="Sociaal"</formula>
    </cfRule>
  </conditionalFormatting>
  <conditionalFormatting sqref="I46">
    <cfRule type="expression" dxfId="29" priority="207">
      <formula>$K$46="Sociaal"</formula>
    </cfRule>
  </conditionalFormatting>
  <conditionalFormatting sqref="I47">
    <cfRule type="expression" dxfId="28" priority="208">
      <formula>$K$47="Sociaal"</formula>
    </cfRule>
  </conditionalFormatting>
  <conditionalFormatting sqref="I48">
    <cfRule type="expression" dxfId="27" priority="209">
      <formula>$K$48="Sociaal"</formula>
    </cfRule>
  </conditionalFormatting>
  <conditionalFormatting sqref="I49">
    <cfRule type="expression" dxfId="26" priority="210">
      <formula>$K$49="Sociaal"</formula>
    </cfRule>
  </conditionalFormatting>
  <conditionalFormatting sqref="I171">
    <cfRule type="expression" dxfId="25" priority="56">
      <formula>$F$112=1</formula>
    </cfRule>
  </conditionalFormatting>
  <conditionalFormatting sqref="K50:L50">
    <cfRule type="expression" dxfId="24" priority="104">
      <formula>$K$50&gt;$G$16</formula>
    </cfRule>
  </conditionalFormatting>
  <conditionalFormatting sqref="K53:L59">
    <cfRule type="cellIs" dxfId="23" priority="95" operator="lessThan">
      <formula>0</formula>
    </cfRule>
    <cfRule type="cellIs" dxfId="22" priority="96" operator="greaterThan">
      <formula>0</formula>
    </cfRule>
  </conditionalFormatting>
  <conditionalFormatting sqref="M33:M49">
    <cfRule type="cellIs" dxfId="21" priority="13" operator="equal">
      <formula>0</formula>
    </cfRule>
  </conditionalFormatting>
  <dataValidations count="2">
    <dataValidation type="list" allowBlank="1" showInputMessage="1" showErrorMessage="1" sqref="H33:H49" xr:uid="{9EFB9E52-2E96-4E8C-A6F3-392FA3484B08}">
      <formula1>"MGW, EGW"</formula1>
    </dataValidation>
    <dataValidation type="list" allowBlank="1" showInputMessage="1" showErrorMessage="1" sqref="J33:J49" xr:uid="{732B6391-A580-4565-A4C5-76A89AB711AD}">
      <formula1>"Sociaal, Betaalbaar, Zorg betaalbaar, Duur"</formula1>
    </dataValidation>
  </dataValidations>
  <pageMargins left="0.7" right="0.7" top="0.75" bottom="0.75" header="0.3" footer="0.3"/>
  <ignoredErrors>
    <ignoredError sqref="I117 G157:I157 B157 H53 K53 M53 K56 M56 K59 M59 H56 H59 F111:G114 E158" evalError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95B02-4A67-4438-B683-3D5B2DBC2C06}">
  <dimension ref="A1:POW116"/>
  <sheetViews>
    <sheetView topLeftCell="A58" zoomScale="120" workbookViewId="0">
      <selection activeCell="D61" sqref="D61"/>
    </sheetView>
  </sheetViews>
  <sheetFormatPr defaultColWidth="0" defaultRowHeight="14.25" zeroHeight="1" x14ac:dyDescent="0.45"/>
  <cols>
    <col min="1" max="2" width="4" style="1" customWidth="1"/>
    <col min="3" max="3" width="2.3984375" style="1" customWidth="1"/>
    <col min="4" max="4" width="3.265625" style="1" customWidth="1"/>
    <col min="5" max="5" width="31.265625" style="1" customWidth="1"/>
    <col min="6" max="6" width="2.265625" style="1" customWidth="1"/>
    <col min="7" max="7" width="18.86328125" style="1" customWidth="1"/>
    <col min="8" max="8" width="16.1328125" style="1" customWidth="1"/>
    <col min="9" max="9" width="24" style="1" bestFit="1" customWidth="1"/>
    <col min="10" max="10" width="14.73046875" style="1" customWidth="1"/>
    <col min="11" max="11" width="11.86328125" style="1" customWidth="1"/>
    <col min="12" max="12" width="12" style="1" bestFit="1" customWidth="1"/>
    <col min="13" max="13" width="44.86328125" style="1" customWidth="1"/>
    <col min="14" max="15" width="0" style="1" hidden="1" customWidth="1"/>
    <col min="16" max="16384" width="9" style="1" hidden="1"/>
  </cols>
  <sheetData>
    <row r="1" spans="1:13 11229:11229" customFormat="1" x14ac:dyDescent="0.4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POW1" s="1"/>
    </row>
    <row r="2" spans="1:13 11229:11229" customFormat="1" ht="35.1" customHeight="1" x14ac:dyDescent="0.7">
      <c r="A2" s="1"/>
      <c r="B2" s="2" t="s">
        <v>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POW2" s="1"/>
    </row>
    <row r="3" spans="1:13 11229:11229" customFormat="1" ht="11.45" customHeight="1" x14ac:dyDescent="0.7">
      <c r="A3" s="1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POW3" s="1"/>
    </row>
    <row r="4" spans="1:13 11229:11229" customFormat="1" ht="14.85" customHeight="1" x14ac:dyDescent="0.45">
      <c r="A4" s="1"/>
      <c r="B4" s="7" t="s">
        <v>53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POW4" s="1"/>
    </row>
    <row r="5" spans="1:13 11229:11229" customFormat="1" ht="14.85" customHeight="1" x14ac:dyDescent="0.45">
      <c r="A5" s="1"/>
      <c r="B5" s="1"/>
      <c r="C5" s="1" t="s">
        <v>47</v>
      </c>
      <c r="D5" s="1"/>
      <c r="E5" s="1"/>
      <c r="F5" s="1"/>
      <c r="G5" s="16">
        <v>17</v>
      </c>
      <c r="H5" s="1"/>
      <c r="I5" s="1"/>
      <c r="J5" s="1"/>
      <c r="K5" s="1"/>
      <c r="L5" s="1"/>
      <c r="M5" s="1"/>
      <c r="POW5" s="1"/>
    </row>
    <row r="6" spans="1:13 11229:11229" customFormat="1" ht="14.85" customHeight="1" x14ac:dyDescent="0.45">
      <c r="A6" s="1"/>
      <c r="B6" s="1"/>
      <c r="C6" s="6" t="s">
        <v>72</v>
      </c>
      <c r="D6" s="1"/>
      <c r="E6" s="1"/>
      <c r="F6" s="1"/>
      <c r="G6" s="46">
        <v>9</v>
      </c>
      <c r="H6" s="1"/>
      <c r="I6" s="1"/>
      <c r="J6" s="1"/>
      <c r="K6" s="1"/>
      <c r="L6" s="1"/>
      <c r="M6" s="1"/>
      <c r="POW6" s="1"/>
    </row>
    <row r="7" spans="1:13 11229:11229" customFormat="1" ht="14.85" customHeight="1" x14ac:dyDescent="0.45">
      <c r="A7" s="1"/>
      <c r="B7" s="1"/>
      <c r="C7" s="1" t="s">
        <v>48</v>
      </c>
      <c r="D7" s="1"/>
      <c r="E7" s="1"/>
      <c r="F7" s="1"/>
      <c r="G7" s="17">
        <v>405000</v>
      </c>
      <c r="H7" s="1"/>
      <c r="I7" s="1"/>
      <c r="J7" s="1"/>
      <c r="K7" s="1"/>
      <c r="L7" s="1"/>
      <c r="M7" s="1"/>
      <c r="POW7" s="1"/>
    </row>
    <row r="8" spans="1:13 11229:11229" customFormat="1" ht="14.85" customHeight="1" x14ac:dyDescent="0.45">
      <c r="A8" s="1"/>
      <c r="B8" s="1"/>
      <c r="C8" s="1" t="s">
        <v>41</v>
      </c>
      <c r="D8" s="1"/>
      <c r="E8" s="1"/>
      <c r="F8" s="1"/>
      <c r="G8" s="19">
        <v>0.21</v>
      </c>
      <c r="H8" s="1"/>
      <c r="I8" s="1"/>
      <c r="J8" s="1"/>
      <c r="K8" s="1"/>
      <c r="L8" s="1"/>
      <c r="M8" s="1"/>
      <c r="POW8" s="1"/>
    </row>
    <row r="9" spans="1:13 11229:11229" customFormat="1" ht="14.85" customHeight="1" x14ac:dyDescent="0.45">
      <c r="A9" s="1"/>
      <c r="B9" s="1"/>
      <c r="C9" s="6" t="s">
        <v>49</v>
      </c>
      <c r="D9" s="1"/>
      <c r="E9" s="1"/>
      <c r="F9" s="1"/>
      <c r="G9" s="18" t="s">
        <v>2</v>
      </c>
      <c r="H9" s="1"/>
      <c r="I9" s="1"/>
      <c r="J9" s="1"/>
      <c r="K9" s="1"/>
      <c r="L9" s="1"/>
      <c r="M9" s="1"/>
      <c r="POW9" s="1"/>
    </row>
    <row r="10" spans="1:13 11229:11229" customFormat="1" ht="14.85" customHeight="1" x14ac:dyDescent="0.45">
      <c r="A10" s="1"/>
      <c r="B10" s="1"/>
      <c r="C10" s="6" t="s">
        <v>50</v>
      </c>
      <c r="D10" s="1"/>
      <c r="E10" s="1"/>
      <c r="F10" s="1"/>
      <c r="G10" s="19">
        <v>0.3</v>
      </c>
      <c r="H10" s="1"/>
      <c r="I10" s="1"/>
      <c r="J10" s="1"/>
      <c r="K10" s="1"/>
      <c r="L10" s="1"/>
      <c r="M10" s="1"/>
      <c r="POW10" s="1"/>
    </row>
    <row r="11" spans="1:13 11229:11229" customFormat="1" ht="14.85" customHeight="1" x14ac:dyDescent="0.45">
      <c r="A11" s="1"/>
      <c r="B11" s="1"/>
      <c r="C11" s="6" t="s">
        <v>51</v>
      </c>
      <c r="D11" s="1"/>
      <c r="E11" s="1"/>
      <c r="F11" s="1"/>
      <c r="G11" s="19">
        <v>0.4</v>
      </c>
      <c r="H11" s="1"/>
      <c r="I11" s="1"/>
      <c r="J11" s="1"/>
      <c r="K11" s="1"/>
      <c r="L11" s="1"/>
      <c r="M11" s="1"/>
      <c r="POW11" s="1"/>
    </row>
    <row r="12" spans="1:13 11229:11229" customFormat="1" ht="14.85" customHeight="1" x14ac:dyDescent="0.45">
      <c r="A12" s="1"/>
      <c r="B12" s="1"/>
      <c r="C12" s="6" t="s">
        <v>60</v>
      </c>
      <c r="D12" s="1"/>
      <c r="E12" s="1"/>
      <c r="F12" s="1"/>
      <c r="G12" s="19">
        <v>0.3</v>
      </c>
      <c r="H12" s="1"/>
      <c r="I12" s="1"/>
      <c r="J12" s="1"/>
      <c r="K12" s="1"/>
      <c r="L12" s="1"/>
      <c r="M12" s="1"/>
      <c r="POW12" s="1"/>
    </row>
    <row r="13" spans="1:13 11229:11229" customFormat="1" ht="14.85" customHeight="1" x14ac:dyDescent="0.4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POW13" s="1"/>
    </row>
    <row r="14" spans="1:13 11229:11229" customFormat="1" ht="14.85" customHeight="1" x14ac:dyDescent="0.7">
      <c r="A14" s="1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POW14" s="1"/>
    </row>
    <row r="15" spans="1:13 11229:11229" customFormat="1" ht="14.85" customHeight="1" x14ac:dyDescent="0.45">
      <c r="A15" s="1"/>
      <c r="B15" s="7" t="s">
        <v>54</v>
      </c>
      <c r="C15" s="1"/>
      <c r="D15" s="1"/>
      <c r="E15" s="1"/>
      <c r="F15" s="1"/>
      <c r="G15" s="15" t="s">
        <v>32</v>
      </c>
      <c r="H15" s="15" t="s">
        <v>31</v>
      </c>
      <c r="I15" s="1"/>
      <c r="J15" s="1"/>
      <c r="K15" s="1"/>
      <c r="L15" s="1"/>
      <c r="M15" s="1"/>
      <c r="POW15" s="1"/>
    </row>
    <row r="16" spans="1:13 11229:11229" customFormat="1" ht="14.85" customHeight="1" x14ac:dyDescent="0.45">
      <c r="A16" s="1"/>
      <c r="B16" s="1"/>
      <c r="C16" s="1" t="s">
        <v>33</v>
      </c>
      <c r="D16" s="1"/>
      <c r="E16" s="1"/>
      <c r="F16" s="1"/>
      <c r="G16" s="8">
        <v>0.28999999999999998</v>
      </c>
      <c r="H16" s="8">
        <v>0.21</v>
      </c>
      <c r="I16" s="1"/>
      <c r="J16" s="1"/>
      <c r="K16" s="1"/>
      <c r="L16" s="1"/>
      <c r="M16" s="1"/>
      <c r="POW16" s="1"/>
    </row>
    <row r="17" spans="1:13 11229:11229" customFormat="1" ht="14.85" customHeight="1" x14ac:dyDescent="0.45">
      <c r="A17" s="1"/>
      <c r="B17" s="1"/>
      <c r="C17" s="1" t="s">
        <v>34</v>
      </c>
      <c r="D17" s="1"/>
      <c r="E17" s="1"/>
      <c r="F17" s="1"/>
      <c r="G17" s="9">
        <v>22500</v>
      </c>
      <c r="H17" s="9">
        <v>18600</v>
      </c>
      <c r="I17" s="1"/>
      <c r="J17" s="1"/>
      <c r="K17" s="1"/>
      <c r="L17" s="1"/>
      <c r="M17" s="1"/>
      <c r="POW17" s="1"/>
    </row>
    <row r="18" spans="1:13 11229:11229" customFormat="1" ht="14.85" customHeight="1" x14ac:dyDescent="0.45">
      <c r="A18" s="1"/>
      <c r="B18" s="1"/>
      <c r="C18" s="1" t="s">
        <v>35</v>
      </c>
      <c r="D18" s="1"/>
      <c r="E18" s="1"/>
      <c r="F18" s="1"/>
      <c r="G18" s="9">
        <v>405000</v>
      </c>
      <c r="H18" s="9">
        <v>405000</v>
      </c>
      <c r="I18" s="1"/>
      <c r="J18" s="1"/>
      <c r="K18" s="1"/>
      <c r="L18" s="1"/>
      <c r="M18" s="1"/>
      <c r="POW18" s="1"/>
    </row>
    <row r="19" spans="1:13 11229:11229" s="22" customFormat="1" ht="14.85" customHeight="1" x14ac:dyDescent="0.7">
      <c r="A19" s="10"/>
      <c r="B19" s="21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</row>
    <row r="20" spans="1:13 11229:11229" customFormat="1" x14ac:dyDescent="0.4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 11229:11229" customFormat="1" x14ac:dyDescent="0.45">
      <c r="A21" s="1"/>
      <c r="B21" s="7" t="s">
        <v>4</v>
      </c>
      <c r="D21" s="1"/>
      <c r="E21" s="1"/>
      <c r="F21" s="1"/>
      <c r="G21" s="15" t="s">
        <v>5</v>
      </c>
      <c r="H21" s="15" t="s">
        <v>6</v>
      </c>
      <c r="I21" s="15" t="s">
        <v>7</v>
      </c>
      <c r="J21" s="15" t="s">
        <v>8</v>
      </c>
      <c r="K21" s="4" t="s">
        <v>9</v>
      </c>
      <c r="L21" s="5"/>
      <c r="M21" s="1"/>
    </row>
    <row r="22" spans="1:13 11229:11229" customFormat="1" x14ac:dyDescent="0.45">
      <c r="A22" s="1"/>
      <c r="B22" s="1"/>
      <c r="C22" s="1"/>
      <c r="D22" s="1" t="s">
        <v>10</v>
      </c>
      <c r="E22" s="1"/>
      <c r="F22" s="1"/>
      <c r="G22" s="16">
        <v>3</v>
      </c>
      <c r="H22" s="29" t="s">
        <v>11</v>
      </c>
      <c r="I22" s="17"/>
      <c r="J22" s="29" t="s">
        <v>0</v>
      </c>
      <c r="K22" s="6" t="s">
        <v>12</v>
      </c>
      <c r="L22" s="5"/>
      <c r="M22" s="1"/>
    </row>
    <row r="23" spans="1:13 11229:11229" customFormat="1" x14ac:dyDescent="0.45">
      <c r="A23" s="1"/>
      <c r="B23" s="1"/>
      <c r="C23" s="1"/>
      <c r="D23" s="1" t="s">
        <v>13</v>
      </c>
      <c r="E23" s="1"/>
      <c r="F23" s="1"/>
      <c r="G23" s="16">
        <v>4</v>
      </c>
      <c r="H23" s="29" t="s">
        <v>11</v>
      </c>
      <c r="I23" s="17">
        <v>400000</v>
      </c>
      <c r="J23" s="29" t="s">
        <v>1</v>
      </c>
      <c r="K23" s="6" t="s">
        <v>12</v>
      </c>
      <c r="L23" s="5"/>
      <c r="M23" s="1" t="s">
        <v>74</v>
      </c>
    </row>
    <row r="24" spans="1:13 11229:11229" customFormat="1" x14ac:dyDescent="0.45">
      <c r="A24" s="1"/>
      <c r="B24" s="1"/>
      <c r="C24" s="1"/>
      <c r="D24" s="1" t="s">
        <v>14</v>
      </c>
      <c r="E24" s="1"/>
      <c r="F24" s="1"/>
      <c r="G24" s="16">
        <v>4</v>
      </c>
      <c r="H24" s="29" t="s">
        <v>11</v>
      </c>
      <c r="I24" s="17">
        <v>500000</v>
      </c>
      <c r="J24" s="29" t="s">
        <v>2</v>
      </c>
      <c r="K24" s="6" t="s">
        <v>12</v>
      </c>
      <c r="L24" s="5"/>
      <c r="M24" s="1"/>
    </row>
    <row r="25" spans="1:13 11229:11229" customFormat="1" x14ac:dyDescent="0.45">
      <c r="A25" s="1"/>
      <c r="B25" s="1"/>
      <c r="C25" s="1"/>
      <c r="D25" s="1" t="s">
        <v>15</v>
      </c>
      <c r="E25" s="1"/>
      <c r="F25" s="1"/>
      <c r="G25" s="16">
        <v>2</v>
      </c>
      <c r="H25" s="29" t="s">
        <v>11</v>
      </c>
      <c r="I25" s="17">
        <v>600000</v>
      </c>
      <c r="J25" s="29" t="s">
        <v>2</v>
      </c>
      <c r="K25" s="6" t="s">
        <v>12</v>
      </c>
      <c r="L25" s="1"/>
      <c r="M25" s="1"/>
    </row>
    <row r="26" spans="1:13 11229:11229" customFormat="1" x14ac:dyDescent="0.45">
      <c r="A26" s="1"/>
      <c r="B26" s="1"/>
      <c r="C26" s="1"/>
      <c r="D26" s="1" t="s">
        <v>16</v>
      </c>
      <c r="E26" s="1"/>
      <c r="F26" s="1"/>
      <c r="G26" s="16"/>
      <c r="H26" s="29"/>
      <c r="I26" s="17"/>
      <c r="J26" s="29"/>
      <c r="K26" s="6" t="s">
        <v>12</v>
      </c>
      <c r="L26" s="1"/>
      <c r="M26" s="1"/>
    </row>
    <row r="27" spans="1:13 11229:11229" customFormat="1" x14ac:dyDescent="0.45">
      <c r="A27" s="1"/>
      <c r="B27" s="1"/>
      <c r="C27" s="1"/>
      <c r="D27" s="1" t="s">
        <v>17</v>
      </c>
      <c r="E27" s="1"/>
      <c r="F27" s="1"/>
      <c r="G27" s="16"/>
      <c r="H27" s="29"/>
      <c r="I27" s="17"/>
      <c r="J27" s="29"/>
      <c r="K27" s="6" t="s">
        <v>12</v>
      </c>
      <c r="L27" s="1"/>
      <c r="M27" s="1"/>
    </row>
    <row r="28" spans="1:13 11229:11229" customFormat="1" x14ac:dyDescent="0.45">
      <c r="A28" s="1"/>
      <c r="B28" s="1"/>
      <c r="C28" s="1"/>
      <c r="D28" s="1" t="s">
        <v>18</v>
      </c>
      <c r="E28" s="1"/>
      <c r="F28" s="1"/>
      <c r="G28" s="16"/>
      <c r="H28" s="29"/>
      <c r="I28" s="17"/>
      <c r="J28" s="29"/>
      <c r="K28" s="6" t="s">
        <v>12</v>
      </c>
      <c r="L28" s="1"/>
      <c r="M28" s="1"/>
    </row>
    <row r="29" spans="1:13 11229:11229" customFormat="1" x14ac:dyDescent="0.45">
      <c r="A29" s="1"/>
      <c r="B29" s="1"/>
      <c r="C29" s="1"/>
      <c r="D29" s="1" t="s">
        <v>19</v>
      </c>
      <c r="E29" s="1"/>
      <c r="F29" s="1"/>
      <c r="G29" s="16"/>
      <c r="H29" s="29"/>
      <c r="I29" s="17"/>
      <c r="J29" s="29"/>
      <c r="K29" s="6" t="s">
        <v>12</v>
      </c>
      <c r="L29" s="1"/>
      <c r="M29" s="1"/>
    </row>
    <row r="30" spans="1:13 11229:11229" customFormat="1" x14ac:dyDescent="0.45">
      <c r="A30" s="1"/>
      <c r="B30" s="1"/>
      <c r="C30" s="1"/>
      <c r="D30" s="1" t="s">
        <v>20</v>
      </c>
      <c r="E30" s="1"/>
      <c r="F30" s="1"/>
      <c r="G30" s="16"/>
      <c r="H30" s="29"/>
      <c r="I30" s="17"/>
      <c r="J30" s="29"/>
      <c r="K30" s="6" t="s">
        <v>12</v>
      </c>
      <c r="L30" s="1"/>
      <c r="M30" s="1"/>
    </row>
    <row r="31" spans="1:13 11229:11229" customFormat="1" x14ac:dyDescent="0.45">
      <c r="A31" s="1"/>
      <c r="B31" s="1"/>
      <c r="C31" s="1"/>
      <c r="D31" s="1" t="s">
        <v>21</v>
      </c>
      <c r="E31" s="1"/>
      <c r="F31" s="1"/>
      <c r="G31" s="16"/>
      <c r="H31" s="29"/>
      <c r="I31" s="17"/>
      <c r="J31" s="29"/>
      <c r="K31" s="6"/>
      <c r="L31" s="1"/>
      <c r="M31" s="1"/>
    </row>
    <row r="32" spans="1:13 11229:11229" customFormat="1" x14ac:dyDescent="0.45">
      <c r="A32" s="1"/>
      <c r="B32" s="1"/>
      <c r="C32" s="1"/>
      <c r="D32" s="1" t="s">
        <v>22</v>
      </c>
      <c r="E32" s="1"/>
      <c r="F32" s="1"/>
      <c r="G32" s="16"/>
      <c r="H32" s="29"/>
      <c r="I32" s="17"/>
      <c r="J32" s="29"/>
      <c r="K32" s="6"/>
      <c r="L32" s="1"/>
      <c r="M32" s="1"/>
    </row>
    <row r="33" spans="1:13" customFormat="1" x14ac:dyDescent="0.45">
      <c r="A33" s="1"/>
      <c r="B33" s="1"/>
      <c r="C33" s="1"/>
      <c r="D33" s="1" t="s">
        <v>23</v>
      </c>
      <c r="E33" s="1"/>
      <c r="F33" s="1"/>
      <c r="G33" s="16"/>
      <c r="H33" s="29"/>
      <c r="I33" s="17"/>
      <c r="J33" s="29"/>
      <c r="K33" s="6"/>
      <c r="L33" s="1"/>
      <c r="M33" s="1"/>
    </row>
    <row r="34" spans="1:13" customFormat="1" x14ac:dyDescent="0.45">
      <c r="A34" s="1"/>
      <c r="B34" s="1"/>
      <c r="C34" s="1"/>
      <c r="D34" s="1" t="s">
        <v>24</v>
      </c>
      <c r="E34" s="1"/>
      <c r="F34" s="1"/>
      <c r="G34" s="16"/>
      <c r="H34" s="29"/>
      <c r="I34" s="17"/>
      <c r="J34" s="29"/>
      <c r="K34" s="6"/>
      <c r="L34" s="1"/>
      <c r="M34" s="1"/>
    </row>
    <row r="35" spans="1:13" customFormat="1" x14ac:dyDescent="0.45">
      <c r="A35" s="1"/>
      <c r="B35" s="1"/>
      <c r="C35" s="1"/>
      <c r="D35" s="1" t="s">
        <v>25</v>
      </c>
      <c r="E35" s="1"/>
      <c r="F35" s="1"/>
      <c r="G35" s="16"/>
      <c r="H35" s="29"/>
      <c r="I35" s="17"/>
      <c r="J35" s="29"/>
      <c r="K35" s="6"/>
      <c r="L35" s="1"/>
      <c r="M35" s="1"/>
    </row>
    <row r="36" spans="1:13" customFormat="1" x14ac:dyDescent="0.45">
      <c r="A36" s="1"/>
      <c r="B36" s="1"/>
      <c r="C36" s="1"/>
      <c r="D36" s="1" t="s">
        <v>26</v>
      </c>
      <c r="E36" s="1"/>
      <c r="F36" s="1"/>
      <c r="G36" s="16"/>
      <c r="H36" s="29"/>
      <c r="I36" s="17"/>
      <c r="J36" s="29"/>
      <c r="K36" s="6"/>
      <c r="L36" s="1"/>
      <c r="M36" s="1"/>
    </row>
    <row r="37" spans="1:13" customFormat="1" x14ac:dyDescent="0.45">
      <c r="A37" s="1"/>
      <c r="B37" s="1"/>
      <c r="C37" s="1"/>
      <c r="D37" s="1" t="s">
        <v>27</v>
      </c>
      <c r="E37" s="1"/>
      <c r="F37" s="1"/>
      <c r="G37" s="16"/>
      <c r="H37" s="29"/>
      <c r="I37" s="17"/>
      <c r="J37" s="29"/>
      <c r="K37" s="6"/>
      <c r="L37" s="1"/>
      <c r="M37" s="1"/>
    </row>
    <row r="38" spans="1:13" customFormat="1" x14ac:dyDescent="0.45">
      <c r="A38" s="1"/>
      <c r="B38" s="1"/>
      <c r="C38" s="1"/>
      <c r="D38" s="1" t="s">
        <v>28</v>
      </c>
      <c r="E38" s="1"/>
      <c r="F38" s="1"/>
      <c r="G38" s="16"/>
      <c r="H38" s="29"/>
      <c r="I38" s="17"/>
      <c r="J38" s="29"/>
      <c r="K38" s="6"/>
      <c r="L38" s="1"/>
      <c r="M38" s="1"/>
    </row>
    <row r="39" spans="1:13" customFormat="1" x14ac:dyDescent="0.45">
      <c r="A39" s="1"/>
      <c r="B39" s="1"/>
      <c r="C39" s="1" t="s">
        <v>29</v>
      </c>
      <c r="D39" s="1"/>
      <c r="E39" s="1"/>
      <c r="F39" s="1"/>
      <c r="G39" s="1"/>
      <c r="H39" s="1"/>
      <c r="I39" s="1"/>
      <c r="J39" s="1"/>
      <c r="K39" s="20">
        <f>SUM(G22:G38)</f>
        <v>13</v>
      </c>
      <c r="L39" s="1" t="s">
        <v>30</v>
      </c>
      <c r="M39" s="45" t="str">
        <f>IF(K39&gt;G5, "Foutieve invoer", "")</f>
        <v/>
      </c>
    </row>
    <row r="40" spans="1:13" customFormat="1" x14ac:dyDescent="0.45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1"/>
      <c r="M40" s="1"/>
    </row>
    <row r="41" spans="1:13" customFormat="1" x14ac:dyDescent="0.45">
      <c r="A41" s="1"/>
      <c r="B41" s="7" t="s">
        <v>55</v>
      </c>
      <c r="C41" s="1"/>
      <c r="D41" s="1"/>
      <c r="E41" s="1"/>
      <c r="F41" s="1"/>
      <c r="G41" s="15" t="s">
        <v>5</v>
      </c>
      <c r="H41" s="15" t="s">
        <v>57</v>
      </c>
      <c r="I41" s="15" t="s">
        <v>58</v>
      </c>
      <c r="J41" s="15" t="s">
        <v>56</v>
      </c>
      <c r="K41" s="35" t="s">
        <v>59</v>
      </c>
      <c r="L41" s="1"/>
      <c r="M41" s="1"/>
    </row>
    <row r="42" spans="1:13" customFormat="1" x14ac:dyDescent="0.45">
      <c r="A42" s="1"/>
      <c r="B42" s="1"/>
      <c r="C42" s="25" t="s">
        <v>0</v>
      </c>
      <c r="D42" s="25"/>
      <c r="E42" s="25"/>
      <c r="F42" s="25"/>
      <c r="G42" s="25">
        <f>SUMIF($J$22:$J$38,C42,$G$22:$G$38)</f>
        <v>3</v>
      </c>
      <c r="H42" s="26">
        <f>SUMIF($J$22:$J$38,C42,$G$22:$G$38)/$K$39</f>
        <v>0.23076923076923078</v>
      </c>
      <c r="I42" s="27"/>
      <c r="J42" s="26">
        <f>G10</f>
        <v>0.3</v>
      </c>
      <c r="K42" s="28">
        <f>+H42-J42</f>
        <v>-6.9230769230769207E-2</v>
      </c>
      <c r="L42" s="1"/>
      <c r="M42" s="1"/>
    </row>
    <row r="43" spans="1:13" customFormat="1" x14ac:dyDescent="0.45">
      <c r="A43" s="1"/>
      <c r="B43" s="1"/>
      <c r="C43" s="1"/>
      <c r="D43" s="32" t="s">
        <v>11</v>
      </c>
      <c r="E43" s="1"/>
      <c r="F43" s="1"/>
      <c r="G43" s="33">
        <f>SUMIFS($G$22:$G$38,$J$22:$J$38,C42,$H$22:$H$38,D43)</f>
        <v>3</v>
      </c>
      <c r="H43" s="34">
        <f>IFERROR(SUMIFS($G$22:$G$38,$J$22:$J$38,$C$42,$H$22:$H$38,D43)/$G$42,0%)</f>
        <v>1</v>
      </c>
      <c r="I43" s="30">
        <f>IFERROR(AVERAGEIFS($I$22:$I$38,$J$22:$J$38,C42,$H$22:$H$38,D43),0)</f>
        <v>0</v>
      </c>
      <c r="J43" s="33"/>
      <c r="K43" s="23"/>
      <c r="L43" s="41"/>
      <c r="M43" s="1"/>
    </row>
    <row r="44" spans="1:13" customFormat="1" x14ac:dyDescent="0.45">
      <c r="A44" s="1"/>
      <c r="B44" s="1"/>
      <c r="C44" s="1"/>
      <c r="D44" s="32" t="s">
        <v>52</v>
      </c>
      <c r="E44" s="1"/>
      <c r="F44" s="1"/>
      <c r="G44" s="33">
        <f>SUMIFS($G$22:$G$38,$J$22:$J$38,C42,$H$22:$H$38,D44)</f>
        <v>0</v>
      </c>
      <c r="H44" s="34">
        <f>IFERROR(SUMIFS($G$22:$G$38,$J$22:$J$38,$C$42,$H$22:$H$38,D44)/$G$42,0%)</f>
        <v>0</v>
      </c>
      <c r="I44" s="30">
        <f>IFERROR(AVERAGEIFS($I$22:$I$38,$J$22:$J$38,C42,$H$22:$H$38,D44),0)</f>
        <v>0</v>
      </c>
      <c r="J44" s="33"/>
      <c r="K44" s="23"/>
      <c r="L44" s="1" t="str">
        <f>IF(I44&gt;0.1,"Let op, foutieve waarde","")</f>
        <v/>
      </c>
      <c r="M44" s="1"/>
    </row>
    <row r="45" spans="1:13" customFormat="1" x14ac:dyDescent="0.45">
      <c r="A45" s="1"/>
      <c r="B45" s="1"/>
      <c r="C45" s="25" t="s">
        <v>1</v>
      </c>
      <c r="D45" s="25"/>
      <c r="E45" s="25"/>
      <c r="F45" s="25"/>
      <c r="G45" s="25">
        <f>SUMIF($J$22:$J$38,C45,$G$22:$G$38)</f>
        <v>4</v>
      </c>
      <c r="H45" s="26">
        <f>SUMIF($J$22:$J$38,C45,$G$22:$G$38)/$K$39</f>
        <v>0.30769230769230771</v>
      </c>
      <c r="I45" s="27"/>
      <c r="J45" s="26">
        <f>G11</f>
        <v>0.4</v>
      </c>
      <c r="K45" s="28">
        <f>+H45-J45</f>
        <v>-9.2307692307692313E-2</v>
      </c>
      <c r="L45" s="1" t="str">
        <f t="shared" ref="L45" si="0">IF(I45&gt;0.1,"Let op, foutieve waarde","")</f>
        <v/>
      </c>
      <c r="M45" s="1"/>
    </row>
    <row r="46" spans="1:13" customFormat="1" x14ac:dyDescent="0.45">
      <c r="A46" s="1"/>
      <c r="B46" s="1"/>
      <c r="C46" s="31"/>
      <c r="D46" s="32" t="s">
        <v>11</v>
      </c>
      <c r="E46" s="1"/>
      <c r="F46" s="1"/>
      <c r="G46" s="33">
        <f>SUMIFS($G$22:$G$38,$J$22:$J$38,C45,$H$22:$H$38,D46)</f>
        <v>4</v>
      </c>
      <c r="H46" s="34">
        <f>IFERROR(SUMIFS($G$22:$G$38,$J$22:$J$38,$C$45,$H$22:$H$38,D46)/$G$45,0%)</f>
        <v>1</v>
      </c>
      <c r="I46" s="30">
        <f>IFERROR(AVERAGEIFS($I$22:$I$38,$J$22:$J$38,C45,$H$22:$H$38,D46),0)</f>
        <v>400000</v>
      </c>
      <c r="J46" s="33"/>
      <c r="K46" s="23"/>
      <c r="L46" s="1"/>
      <c r="M46" s="1"/>
    </row>
    <row r="47" spans="1:13" customFormat="1" x14ac:dyDescent="0.45">
      <c r="A47" s="1"/>
      <c r="B47" s="1"/>
      <c r="C47" s="31"/>
      <c r="D47" s="32" t="s">
        <v>52</v>
      </c>
      <c r="E47" s="1"/>
      <c r="F47" s="1"/>
      <c r="G47" s="33">
        <f>SUMIFS($G$22:$G$38,$J$22:$J$38,C45,$H$22:$H$38,D47)</f>
        <v>0</v>
      </c>
      <c r="H47" s="34">
        <f>IFERROR(SUMIFS($G$22:$G$38,$J$22:$J$38,$C$45,$H$22:$H$38,D47)/$G$45,0%)</f>
        <v>0</v>
      </c>
      <c r="I47" s="30">
        <f>IFERROR(AVERAGEIFS($I$22:$I$38,$J$22:$J$38,C45,$H$22:$H$38,D47),0)</f>
        <v>0</v>
      </c>
      <c r="J47" s="33"/>
      <c r="K47" s="23"/>
      <c r="L47" s="1"/>
      <c r="M47" s="1"/>
    </row>
    <row r="48" spans="1:13" customFormat="1" x14ac:dyDescent="0.45">
      <c r="A48" s="1"/>
      <c r="B48" s="1"/>
      <c r="C48" s="25" t="s">
        <v>2</v>
      </c>
      <c r="D48" s="25"/>
      <c r="E48" s="25"/>
      <c r="F48" s="25"/>
      <c r="G48" s="25">
        <f>SUMIF($J$22:$J$38,C48,$G$22:$G$38)</f>
        <v>6</v>
      </c>
      <c r="H48" s="26">
        <f>SUMIF($J$22:$J$38,C48,$G$22:$G$38)/$K$39</f>
        <v>0.46153846153846156</v>
      </c>
      <c r="I48" s="27"/>
      <c r="J48" s="26">
        <f>G12</f>
        <v>0.3</v>
      </c>
      <c r="K48" s="28">
        <f>+H48-J48</f>
        <v>0.16153846153846158</v>
      </c>
      <c r="L48" s="1"/>
      <c r="M48" s="1"/>
    </row>
    <row r="49" spans="1:15" customFormat="1" x14ac:dyDescent="0.45">
      <c r="A49" s="1"/>
      <c r="B49" s="1"/>
      <c r="C49" s="31"/>
      <c r="D49" s="32" t="s">
        <v>11</v>
      </c>
      <c r="E49" s="1"/>
      <c r="F49" s="3"/>
      <c r="G49" s="33">
        <f>SUMIFS($G$22:$G$38,$J$22:$J$38,C48,$H$22:$H$38,D49)</f>
        <v>6</v>
      </c>
      <c r="H49" s="53">
        <f>IFERROR(SUMIFS($G$22:$G$38,$J$22:$J$38,$C$48,$H$22:$H$38,D49)/$G$48,0%)</f>
        <v>1</v>
      </c>
      <c r="I49" s="30">
        <f>IFERROR(AVERAGEIFS($I$22:$I$38,$J$22:$J$38,C48,$H$22:$H$38,D49),0)</f>
        <v>550000</v>
      </c>
      <c r="J49" s="33"/>
      <c r="K49" s="23"/>
      <c r="L49" s="1"/>
      <c r="M49" s="1"/>
    </row>
    <row r="50" spans="1:15" customFormat="1" x14ac:dyDescent="0.45">
      <c r="A50" s="1"/>
      <c r="B50" s="1"/>
      <c r="C50" s="31"/>
      <c r="D50" s="32" t="s">
        <v>52</v>
      </c>
      <c r="E50" s="1"/>
      <c r="F50" s="1"/>
      <c r="G50" s="33">
        <f>SUMIFS($G$22:$G$38,$J$22:$J$38,C48,$H$22:$H$38,D50)</f>
        <v>0</v>
      </c>
      <c r="H50" s="53">
        <f>IFERROR(SUMIFS($G$22:$G$38,$J$22:$J$38,$C$48,$H$22:$H$38,D50)/$G$48,0%)</f>
        <v>0</v>
      </c>
      <c r="I50" s="30">
        <f>IFERROR(AVERAGEIFS($I$22:$I$38,$J$22:$J$38,C48,$H$22:$H$38,D50),0)</f>
        <v>0</v>
      </c>
      <c r="J50" s="33"/>
      <c r="K50" s="23"/>
      <c r="L50" s="1"/>
      <c r="M50" s="1"/>
    </row>
    <row r="51" spans="1:15" customFormat="1" x14ac:dyDescent="0.45">
      <c r="A51" s="1"/>
      <c r="B51" s="1"/>
      <c r="C51" s="1"/>
      <c r="D51" s="1"/>
      <c r="E51" s="1"/>
      <c r="F51" s="1"/>
      <c r="G51" s="24"/>
      <c r="H51" s="8"/>
      <c r="I51" s="9"/>
      <c r="J51" s="1"/>
      <c r="K51" s="23"/>
      <c r="L51" s="1"/>
      <c r="M51" s="1"/>
    </row>
    <row r="52" spans="1:15" customFormat="1" x14ac:dyDescent="0.45">
      <c r="A52" s="1"/>
      <c r="B52" s="7" t="s">
        <v>61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5" customFormat="1" x14ac:dyDescent="0.45">
      <c r="A53" s="1"/>
      <c r="B53" s="1"/>
      <c r="C53" s="1" t="s">
        <v>62</v>
      </c>
      <c r="D53" s="1"/>
      <c r="E53" s="1"/>
      <c r="F53" s="1" t="s">
        <v>63</v>
      </c>
      <c r="G53" s="5" t="str">
        <f>IF($K$45&gt;=0,"Voldoet wel aan het vereiste voor middelduur","Voldoet niet aan het vereiste voor middelduur")</f>
        <v>Voldoet niet aan het vereiste voor middelduur</v>
      </c>
      <c r="H53" s="1"/>
      <c r="I53" s="1"/>
      <c r="J53" s="1" t="b">
        <f>K45&gt;=0</f>
        <v>0</v>
      </c>
      <c r="K53" s="1"/>
      <c r="L53" s="1"/>
      <c r="M53" s="1"/>
    </row>
    <row r="54" spans="1:15" customFormat="1" x14ac:dyDescent="0.45">
      <c r="A54" s="1"/>
      <c r="C54" s="1"/>
      <c r="D54" s="1"/>
      <c r="E54" s="1"/>
      <c r="F54" s="1" t="s">
        <v>64</v>
      </c>
      <c r="G54" s="5" t="str">
        <f>IF($K$42&gt;=0,"Voldoet wel aan het vereiste voor sociale huur","Voldoet niet aan het vereiste voor sociale huur")</f>
        <v>Voldoet niet aan het vereiste voor sociale huur</v>
      </c>
      <c r="H54" s="1"/>
      <c r="I54" s="1"/>
      <c r="J54" s="1" t="b">
        <f>$K$42&gt;=0</f>
        <v>0</v>
      </c>
      <c r="K54" s="1"/>
      <c r="L54" s="1"/>
      <c r="M54" s="1"/>
    </row>
    <row r="55" spans="1:15" customFormat="1" x14ac:dyDescent="0.45">
      <c r="A55" s="1"/>
      <c r="B55" s="1"/>
      <c r="C55" s="1"/>
      <c r="D55" s="1"/>
      <c r="E55" s="1"/>
      <c r="F55" s="1" t="s">
        <v>65</v>
      </c>
      <c r="G55" s="5" t="str">
        <f>IF(K42=0,"U hoeft niets te doen",IF($K$42&gt;0,"Ontvangt een subsidie van het vereveningsfonds","Leidt tot afdracht aan het vereveningsfonds"))</f>
        <v>Leidt tot afdracht aan het vereveningsfonds</v>
      </c>
      <c r="H55" s="1"/>
      <c r="I55" s="1"/>
      <c r="J55" s="1" t="b">
        <f>$K$42&gt;0</f>
        <v>0</v>
      </c>
      <c r="K55" s="1"/>
      <c r="L55" s="1"/>
      <c r="M55" s="1"/>
    </row>
    <row r="56" spans="1:15" customFormat="1" x14ac:dyDescent="0.45">
      <c r="A56" s="1"/>
      <c r="B56" s="1"/>
      <c r="C56" s="1"/>
      <c r="D56" s="1"/>
      <c r="E56" s="1"/>
      <c r="F56" s="1"/>
      <c r="G56" s="5"/>
      <c r="H56" s="1"/>
      <c r="I56" s="1"/>
      <c r="J56" s="1"/>
      <c r="K56" s="1"/>
      <c r="L56" s="1"/>
      <c r="M56" s="1"/>
    </row>
    <row r="57" spans="1:15" customFormat="1" x14ac:dyDescent="0.45">
      <c r="A57" s="1"/>
      <c r="B57" s="1"/>
      <c r="C57" s="36" t="str">
        <f>IF($K$42&gt;0,"Uw te ontvangen subsidie:","Uw afdracht: ")</f>
        <v xml:space="preserve">Uw afdracht: </v>
      </c>
      <c r="D57" s="10"/>
      <c r="E57" s="10"/>
      <c r="F57" s="10"/>
      <c r="G57" s="36"/>
      <c r="H57" s="36"/>
      <c r="I57" s="44"/>
      <c r="J57" s="1"/>
      <c r="K57" s="1"/>
      <c r="L57" s="1"/>
      <c r="M57" s="1"/>
    </row>
    <row r="58" spans="1:15" customFormat="1" x14ac:dyDescent="0.4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5" customFormat="1" x14ac:dyDescent="0.45">
      <c r="A59" s="1">
        <v>1</v>
      </c>
      <c r="B59" s="7" t="s">
        <v>36</v>
      </c>
      <c r="C59" s="1"/>
      <c r="D59" s="1"/>
      <c r="E59" s="1"/>
      <c r="F59" s="1"/>
      <c r="G59" s="15" t="s">
        <v>11</v>
      </c>
      <c r="H59" s="15" t="s">
        <v>52</v>
      </c>
      <c r="I59" s="15" t="s">
        <v>68</v>
      </c>
      <c r="J59" s="1"/>
      <c r="K59" s="1"/>
      <c r="L59" s="1"/>
      <c r="M59" s="1"/>
      <c r="N59" s="1"/>
      <c r="O59" s="1"/>
    </row>
    <row r="60" spans="1:15" customFormat="1" x14ac:dyDescent="0.45">
      <c r="A60" s="1"/>
      <c r="B60" s="7"/>
      <c r="C60" s="1"/>
      <c r="D60" s="1" t="s">
        <v>73</v>
      </c>
      <c r="E60" s="1"/>
      <c r="F60" s="1"/>
      <c r="G60" s="28">
        <f>SUMIF($H$22:$H$38,G59,$G$22:$G$38)/$K$39</f>
        <v>1</v>
      </c>
      <c r="H60" s="28">
        <f>SUMIF($H$22:$H$38,H59,$G$22:$G$38)/$K$39</f>
        <v>0</v>
      </c>
      <c r="I60" s="1"/>
      <c r="J60" s="1"/>
      <c r="K60" s="5" t="s">
        <v>75</v>
      </c>
      <c r="L60" s="1"/>
      <c r="M60" s="1"/>
      <c r="N60" s="1"/>
      <c r="O60" s="1"/>
    </row>
    <row r="61" spans="1:15" customFormat="1" x14ac:dyDescent="0.45">
      <c r="A61" s="1"/>
      <c r="B61" s="1"/>
      <c r="C61" s="1"/>
      <c r="D61" s="1" t="s">
        <v>39</v>
      </c>
      <c r="E61" s="1"/>
      <c r="F61" s="1" t="s">
        <v>40</v>
      </c>
      <c r="G61" s="9">
        <f>IFERROR(IF($K$39&gt;$G$6,I49,(H45*I46)+(H48*I49)),)</f>
        <v>550000</v>
      </c>
      <c r="H61" s="9">
        <f>IFERROR(IF($K$39&gt;$G$6,I50,(H45*I47)+(H48*I50)),)</f>
        <v>0</v>
      </c>
      <c r="I61" s="9"/>
      <c r="J61" s="37"/>
      <c r="K61" s="1"/>
      <c r="L61" s="1"/>
      <c r="M61" s="1"/>
      <c r="N61" s="1"/>
      <c r="O61" s="1"/>
    </row>
    <row r="62" spans="1:15" customFormat="1" x14ac:dyDescent="0.45">
      <c r="A62" s="1"/>
      <c r="B62" s="1"/>
      <c r="C62" s="1"/>
      <c r="D62" s="10" t="s">
        <v>41</v>
      </c>
      <c r="E62" s="10"/>
      <c r="F62" s="11" t="s">
        <v>42</v>
      </c>
      <c r="G62" s="38">
        <f>$G$8</f>
        <v>0.21</v>
      </c>
      <c r="H62" s="38">
        <f>$G$8</f>
        <v>0.21</v>
      </c>
      <c r="I62" s="1"/>
      <c r="J62" s="1"/>
      <c r="K62" s="1"/>
      <c r="L62" s="1"/>
      <c r="M62" s="1"/>
      <c r="N62" s="1"/>
      <c r="O62" s="1"/>
    </row>
    <row r="63" spans="1:15" customFormat="1" x14ac:dyDescent="0.45">
      <c r="A63" s="1"/>
      <c r="B63" s="1"/>
      <c r="C63" s="1"/>
      <c r="D63" s="47" t="s">
        <v>43</v>
      </c>
      <c r="E63" s="48"/>
      <c r="F63" s="47" t="s">
        <v>44</v>
      </c>
      <c r="G63" s="49">
        <f>G61/(1+G62)</f>
        <v>454545.45454545459</v>
      </c>
      <c r="H63" s="49">
        <f>H61/(1+H62)</f>
        <v>0</v>
      </c>
      <c r="I63" s="1"/>
      <c r="J63" s="1"/>
      <c r="K63" s="1"/>
      <c r="L63" s="1"/>
      <c r="M63" s="1"/>
      <c r="N63" s="1"/>
      <c r="O63" s="1"/>
    </row>
    <row r="64" spans="1:15" customFormat="1" x14ac:dyDescent="0.45">
      <c r="A64" s="1"/>
      <c r="B64" s="1"/>
      <c r="C64" s="1"/>
      <c r="D64" s="1" t="s">
        <v>37</v>
      </c>
      <c r="E64" s="1"/>
      <c r="F64" s="6" t="s">
        <v>38</v>
      </c>
      <c r="G64" s="1">
        <f>IF(K39&gt;G6,(J42-H42)*K39,IF(K45&gt;0,($J$42-$H$42-$K$45)*$K$39,($J$42-$H$42)*$K$39))</f>
        <v>0.89999999999999969</v>
      </c>
      <c r="H64" s="1">
        <f>IF($K$39&gt;$G$6,(J42-H42)*K39,IF(L45&gt;0,($J$42-$H$42-$K$45)*$K$39,($J$42-$H$42)*$K$39))</f>
        <v>0.89999999999999969</v>
      </c>
      <c r="I64" s="1"/>
      <c r="J64" s="1"/>
      <c r="K64" s="1"/>
      <c r="L64" s="1"/>
      <c r="M64" s="1"/>
      <c r="N64" s="1"/>
      <c r="O64" s="1"/>
    </row>
    <row r="65" spans="1:15" customFormat="1" x14ac:dyDescent="0.45">
      <c r="A65" s="1"/>
      <c r="B65" s="1"/>
      <c r="C65" s="1"/>
      <c r="D65" s="1" t="s">
        <v>33</v>
      </c>
      <c r="E65" s="1"/>
      <c r="F65" s="1" t="s">
        <v>40</v>
      </c>
      <c r="G65" s="39">
        <f>$G$16</f>
        <v>0.28999999999999998</v>
      </c>
      <c r="H65" s="39">
        <f>$H$16</f>
        <v>0.21</v>
      </c>
      <c r="I65" s="1"/>
      <c r="J65" s="1"/>
      <c r="K65" s="1"/>
      <c r="L65" s="1"/>
      <c r="M65" s="1"/>
      <c r="N65" s="1"/>
      <c r="O65" s="1"/>
    </row>
    <row r="66" spans="1:15" customFormat="1" ht="14.65" thickBot="1" x14ac:dyDescent="0.5">
      <c r="A66" s="1"/>
      <c r="B66" s="1"/>
      <c r="C66" s="1"/>
      <c r="D66" s="12" t="s">
        <v>45</v>
      </c>
      <c r="E66" s="12"/>
      <c r="F66" s="13" t="s">
        <v>12</v>
      </c>
      <c r="G66" s="56">
        <f t="shared" ref="G66:H66" si="1">G17</f>
        <v>22500</v>
      </c>
      <c r="H66" s="56">
        <f t="shared" si="1"/>
        <v>18600</v>
      </c>
      <c r="I66" s="1"/>
      <c r="J66" s="1"/>
      <c r="K66" s="1"/>
      <c r="L66" s="1"/>
      <c r="M66" s="1"/>
      <c r="N66" s="1"/>
      <c r="O66" s="1"/>
    </row>
    <row r="67" spans="1:15" customFormat="1" ht="14.65" thickTop="1" x14ac:dyDescent="0.45">
      <c r="A67" s="1"/>
      <c r="B67" s="1"/>
      <c r="C67" s="1"/>
      <c r="D67" s="50" t="s">
        <v>66</v>
      </c>
      <c r="E67" s="50"/>
      <c r="F67" s="51" t="s">
        <v>44</v>
      </c>
      <c r="G67" s="54">
        <f>IF(G61&gt;0,IF(G64&gt;0,G60*((G64*G63*G65)-(G64*G66)),0),0)</f>
        <v>98386.363636363618</v>
      </c>
      <c r="H67" s="52">
        <f>IF(H61&gt;0,IF(H64&gt;0,H60*((H64*H63*H65)-(H64*H66)),0),0)</f>
        <v>0</v>
      </c>
      <c r="I67" s="1"/>
      <c r="J67" s="1"/>
      <c r="K67" s="1"/>
      <c r="L67" s="1"/>
      <c r="M67" s="1"/>
      <c r="N67" s="1"/>
      <c r="O67" s="1"/>
    </row>
    <row r="68" spans="1:15" customFormat="1" x14ac:dyDescent="0.45">
      <c r="A68" s="1"/>
      <c r="B68" s="1"/>
      <c r="C68" s="3" t="s">
        <v>67</v>
      </c>
      <c r="D68" s="3"/>
      <c r="E68" s="3"/>
      <c r="F68" s="14" t="s">
        <v>44</v>
      </c>
      <c r="G68" s="1"/>
      <c r="H68" s="1"/>
      <c r="I68" s="55">
        <f>SUM(G67:H67)</f>
        <v>98386.363636363618</v>
      </c>
      <c r="J68" s="1"/>
      <c r="K68" s="1"/>
      <c r="L68" s="1"/>
      <c r="M68" s="1"/>
      <c r="N68" s="1"/>
      <c r="O68" s="1"/>
    </row>
    <row r="69" spans="1:15" customFormat="1" x14ac:dyDescent="0.45">
      <c r="A69" s="1"/>
      <c r="B69" s="1"/>
      <c r="C69" s="1"/>
      <c r="D69" s="1"/>
      <c r="E69" s="3"/>
      <c r="F69" s="14"/>
      <c r="G69" s="1"/>
      <c r="H69" s="1"/>
      <c r="I69" s="1"/>
      <c r="J69" s="1"/>
      <c r="K69" s="1"/>
      <c r="L69" s="1"/>
      <c r="M69" s="1"/>
      <c r="N69" s="1"/>
      <c r="O69" s="1"/>
    </row>
    <row r="70" spans="1:15" customFormat="1" x14ac:dyDescent="0.45">
      <c r="A70" s="1"/>
      <c r="B70" s="1"/>
      <c r="C70" s="3"/>
      <c r="D70" s="1"/>
      <c r="E70" s="3"/>
      <c r="F70" s="14"/>
      <c r="G70" s="1"/>
      <c r="H70" s="1"/>
      <c r="I70" s="1"/>
      <c r="J70" s="1"/>
      <c r="K70" s="1"/>
      <c r="L70" s="1"/>
      <c r="M70" s="1"/>
      <c r="N70" s="1"/>
      <c r="O70" s="1"/>
    </row>
    <row r="71" spans="1:15" customFormat="1" x14ac:dyDescent="0.45">
      <c r="A71" s="1">
        <v>2</v>
      </c>
      <c r="B71" s="7" t="s">
        <v>46</v>
      </c>
      <c r="C71" s="1"/>
      <c r="D71" s="1"/>
      <c r="E71" s="1"/>
      <c r="F71" s="1"/>
      <c r="G71" s="15" t="s">
        <v>11</v>
      </c>
      <c r="H71" s="15" t="s">
        <v>52</v>
      </c>
      <c r="I71" s="1"/>
      <c r="J71" s="1"/>
      <c r="K71" s="1"/>
      <c r="L71" s="1"/>
      <c r="M71" s="1"/>
      <c r="N71" s="1"/>
      <c r="O71" s="1"/>
    </row>
    <row r="72" spans="1:15" customFormat="1" x14ac:dyDescent="0.45">
      <c r="A72" s="1"/>
      <c r="B72" s="7"/>
      <c r="C72" s="1"/>
      <c r="D72" s="1" t="s">
        <v>71</v>
      </c>
      <c r="E72" s="1"/>
      <c r="F72" s="1"/>
      <c r="G72" s="43">
        <f>IF(K42*G43&gt;0.4,K42*G43,0)</f>
        <v>0</v>
      </c>
      <c r="H72" s="43">
        <f>K42*G44</f>
        <v>0</v>
      </c>
      <c r="I72" s="1"/>
      <c r="J72" s="1"/>
      <c r="K72" s="1"/>
      <c r="L72" s="1"/>
      <c r="M72" s="1"/>
      <c r="N72" s="1"/>
      <c r="O72" s="1"/>
    </row>
    <row r="73" spans="1:15" customFormat="1" x14ac:dyDescent="0.45">
      <c r="A73" s="1"/>
      <c r="B73" s="1"/>
      <c r="C73" s="1"/>
      <c r="D73" s="1" t="s">
        <v>35</v>
      </c>
      <c r="E73" s="1"/>
      <c r="F73" s="1" t="s">
        <v>38</v>
      </c>
      <c r="G73" s="37">
        <f>G18</f>
        <v>405000</v>
      </c>
      <c r="H73" s="37">
        <f>H18</f>
        <v>405000</v>
      </c>
      <c r="I73" s="1"/>
      <c r="J73" s="1"/>
      <c r="K73" s="1"/>
      <c r="L73" s="1"/>
      <c r="M73" s="1"/>
      <c r="N73" s="1"/>
      <c r="O73" s="1"/>
    </row>
    <row r="74" spans="1:15" customFormat="1" x14ac:dyDescent="0.45">
      <c r="A74" s="1"/>
      <c r="B74" s="1"/>
      <c r="C74" s="1"/>
      <c r="D74" s="1" t="s">
        <v>41</v>
      </c>
      <c r="E74" s="1"/>
      <c r="F74" s="6" t="s">
        <v>42</v>
      </c>
      <c r="G74" s="8">
        <f t="shared" ref="G74:H74" si="2">$G$8</f>
        <v>0.21</v>
      </c>
      <c r="H74" s="8">
        <f t="shared" si="2"/>
        <v>0.21</v>
      </c>
      <c r="I74" s="1"/>
      <c r="J74" s="1"/>
      <c r="K74" s="1"/>
      <c r="L74" s="1"/>
      <c r="M74" s="1"/>
      <c r="N74" s="1"/>
      <c r="O74" s="1"/>
    </row>
    <row r="75" spans="1:15" customFormat="1" x14ac:dyDescent="0.45">
      <c r="A75" s="1"/>
      <c r="B75" s="1"/>
      <c r="C75" s="1"/>
      <c r="D75" s="1" t="s">
        <v>33</v>
      </c>
      <c r="E75" s="1"/>
      <c r="F75" s="1" t="s">
        <v>40</v>
      </c>
      <c r="G75" s="8">
        <f>G16</f>
        <v>0.28999999999999998</v>
      </c>
      <c r="H75" s="8">
        <f>H16</f>
        <v>0.21</v>
      </c>
      <c r="I75" s="1"/>
      <c r="J75" s="1"/>
      <c r="K75" s="1"/>
      <c r="L75" s="1"/>
      <c r="M75" s="1"/>
      <c r="N75" s="1"/>
      <c r="O75" s="1"/>
    </row>
    <row r="76" spans="1:15" customFormat="1" ht="14.65" thickBot="1" x14ac:dyDescent="0.5">
      <c r="A76" s="1"/>
      <c r="B76" s="1"/>
      <c r="C76" s="1"/>
      <c r="D76" s="12" t="s">
        <v>45</v>
      </c>
      <c r="E76" s="12"/>
      <c r="F76" s="13" t="s">
        <v>12</v>
      </c>
      <c r="G76" s="42">
        <f>G17</f>
        <v>22500</v>
      </c>
      <c r="H76" s="42">
        <f>H17</f>
        <v>18600</v>
      </c>
      <c r="I76" s="1"/>
      <c r="J76" s="1"/>
      <c r="K76" s="1"/>
      <c r="L76" s="1"/>
      <c r="M76" s="1"/>
      <c r="N76" s="1"/>
      <c r="O76" s="1"/>
    </row>
    <row r="77" spans="1:15" customFormat="1" ht="14.65" thickTop="1" x14ac:dyDescent="0.45">
      <c r="A77" s="1"/>
      <c r="B77" s="1"/>
      <c r="C77" s="1"/>
      <c r="D77" s="1" t="s">
        <v>69</v>
      </c>
      <c r="E77" s="3"/>
      <c r="F77" s="6" t="s">
        <v>44</v>
      </c>
      <c r="G77" s="37">
        <f>G72*(G73/(1+G74)*G75-G76)</f>
        <v>0</v>
      </c>
      <c r="H77" s="37">
        <f>H72*(H73/(1+H74)*H75-H76)</f>
        <v>0</v>
      </c>
      <c r="I77" s="1"/>
      <c r="J77" s="1"/>
      <c r="K77" s="1"/>
      <c r="L77" s="1"/>
      <c r="M77" s="1"/>
      <c r="N77" s="1"/>
      <c r="O77" s="1"/>
    </row>
    <row r="78" spans="1:15" customFormat="1" x14ac:dyDescent="0.45">
      <c r="A78" s="1"/>
      <c r="B78" s="1"/>
      <c r="C78" s="3" t="s">
        <v>70</v>
      </c>
      <c r="D78" s="1"/>
      <c r="E78" s="1"/>
      <c r="F78" s="1"/>
      <c r="G78" s="1"/>
      <c r="H78" s="1"/>
      <c r="I78" s="40">
        <f>SUM(G77:H77)</f>
        <v>0</v>
      </c>
      <c r="J78" s="1"/>
      <c r="K78" s="1"/>
      <c r="L78" s="1"/>
      <c r="M78" s="1"/>
      <c r="N78" s="1"/>
      <c r="O78" s="1"/>
    </row>
    <row r="79" spans="1:15" x14ac:dyDescent="0.45"/>
    <row r="80" spans="1:15" x14ac:dyDescent="0.45"/>
    <row r="81" x14ac:dyDescent="0.45"/>
    <row r="82" x14ac:dyDescent="0.45"/>
    <row r="83" x14ac:dyDescent="0.45"/>
    <row r="84" x14ac:dyDescent="0.45"/>
    <row r="85" x14ac:dyDescent="0.45"/>
    <row r="86" x14ac:dyDescent="0.45"/>
    <row r="87" x14ac:dyDescent="0.45"/>
    <row r="88" x14ac:dyDescent="0.45"/>
    <row r="89" x14ac:dyDescent="0.45"/>
    <row r="90" x14ac:dyDescent="0.45"/>
    <row r="91" x14ac:dyDescent="0.45"/>
    <row r="92" x14ac:dyDescent="0.45"/>
    <row r="93" x14ac:dyDescent="0.45"/>
    <row r="94" x14ac:dyDescent="0.45"/>
    <row r="95" x14ac:dyDescent="0.45"/>
    <row r="96" x14ac:dyDescent="0.45"/>
    <row r="97" x14ac:dyDescent="0.45"/>
    <row r="98" x14ac:dyDescent="0.45"/>
    <row r="99" x14ac:dyDescent="0.45"/>
    <row r="100" x14ac:dyDescent="0.45"/>
    <row r="101" x14ac:dyDescent="0.45"/>
    <row r="102" x14ac:dyDescent="0.45"/>
    <row r="103" x14ac:dyDescent="0.45"/>
    <row r="104" x14ac:dyDescent="0.45"/>
    <row r="105" x14ac:dyDescent="0.45"/>
    <row r="106" x14ac:dyDescent="0.45"/>
    <row r="107" x14ac:dyDescent="0.45"/>
    <row r="108" x14ac:dyDescent="0.45"/>
    <row r="109" x14ac:dyDescent="0.45"/>
    <row r="110" x14ac:dyDescent="0.45"/>
    <row r="111" x14ac:dyDescent="0.45"/>
    <row r="112" x14ac:dyDescent="0.45"/>
    <row r="113" x14ac:dyDescent="0.45"/>
    <row r="114" x14ac:dyDescent="0.45"/>
    <row r="115" x14ac:dyDescent="0.45"/>
    <row r="116" x14ac:dyDescent="0.45"/>
  </sheetData>
  <phoneticPr fontId="7" type="noConversion"/>
  <conditionalFormatting sqref="I22">
    <cfRule type="expression" dxfId="20" priority="20">
      <formula>$J$22="Sociaal"</formula>
    </cfRule>
    <cfRule type="cellIs" dxfId="19" priority="28" operator="equal">
      <formula>$J$22</formula>
    </cfRule>
  </conditionalFormatting>
  <conditionalFormatting sqref="I23">
    <cfRule type="expression" dxfId="18" priority="19">
      <formula>$J$23="Sociaal"</formula>
    </cfRule>
  </conditionalFormatting>
  <conditionalFormatting sqref="I24">
    <cfRule type="expression" dxfId="17" priority="18">
      <formula>$J$24="Sociaal"</formula>
    </cfRule>
  </conditionalFormatting>
  <conditionalFormatting sqref="I25">
    <cfRule type="expression" dxfId="16" priority="17">
      <formula>$J$25="Sociaal"</formula>
    </cfRule>
  </conditionalFormatting>
  <conditionalFormatting sqref="I26">
    <cfRule type="expression" dxfId="15" priority="16">
      <formula>$J$26="Sociaal"</formula>
    </cfRule>
  </conditionalFormatting>
  <conditionalFormatting sqref="I27">
    <cfRule type="expression" dxfId="14" priority="15">
      <formula>$J$27="Sociaal"</formula>
    </cfRule>
  </conditionalFormatting>
  <conditionalFormatting sqref="I28">
    <cfRule type="expression" dxfId="13" priority="14">
      <formula>$J$28="Sociaal"</formula>
    </cfRule>
  </conditionalFormatting>
  <conditionalFormatting sqref="I29">
    <cfRule type="expression" dxfId="12" priority="13">
      <formula>$J$29="Sociaal"</formula>
    </cfRule>
  </conditionalFormatting>
  <conditionalFormatting sqref="I30">
    <cfRule type="expression" dxfId="11" priority="12">
      <formula>$J$30="Sociaal"</formula>
    </cfRule>
  </conditionalFormatting>
  <conditionalFormatting sqref="I31">
    <cfRule type="expression" dxfId="10" priority="11">
      <formula>$J$31="Sociaal"</formula>
    </cfRule>
  </conditionalFormatting>
  <conditionalFormatting sqref="I32">
    <cfRule type="expression" dxfId="9" priority="10">
      <formula>$J$32="Sociaal"</formula>
    </cfRule>
  </conditionalFormatting>
  <conditionalFormatting sqref="I33">
    <cfRule type="expression" dxfId="8" priority="9">
      <formula>$J$33="Sociaal"</formula>
    </cfRule>
  </conditionalFormatting>
  <conditionalFormatting sqref="I34">
    <cfRule type="expression" dxfId="7" priority="8">
      <formula>$J$34="Sociaal"</formula>
    </cfRule>
  </conditionalFormatting>
  <conditionalFormatting sqref="I35">
    <cfRule type="expression" dxfId="6" priority="7">
      <formula>$J$35="Sociaal"</formula>
    </cfRule>
  </conditionalFormatting>
  <conditionalFormatting sqref="I36">
    <cfRule type="expression" dxfId="5" priority="6">
      <formula>$J$36="Sociaal"</formula>
    </cfRule>
  </conditionalFormatting>
  <conditionalFormatting sqref="I37">
    <cfRule type="expression" dxfId="4" priority="5">
      <formula>$J$37="Sociaal"</formula>
    </cfRule>
  </conditionalFormatting>
  <conditionalFormatting sqref="I38">
    <cfRule type="expression" dxfId="3" priority="4">
      <formula>$J$38="Sociaal"</formula>
    </cfRule>
  </conditionalFormatting>
  <conditionalFormatting sqref="K39">
    <cfRule type="expression" dxfId="2" priority="21">
      <formula>$K$39&gt;$G$5</formula>
    </cfRule>
  </conditionalFormatting>
  <conditionalFormatting sqref="K42:K48">
    <cfRule type="cellIs" dxfId="1" priority="22" operator="lessThan">
      <formula>0</formula>
    </cfRule>
    <cfRule type="cellIs" dxfId="0" priority="23" operator="greaterThan">
      <formula>0</formula>
    </cfRule>
  </conditionalFormatting>
  <dataValidations count="2">
    <dataValidation type="list" allowBlank="1" showInputMessage="1" showErrorMessage="1" sqref="J22:J38" xr:uid="{344C945A-4BAC-434F-BAB4-BBEC82B68058}">
      <formula1>"Sociaal, Middelduur, Vrije sector"</formula1>
    </dataValidation>
    <dataValidation type="list" allowBlank="1" showInputMessage="1" showErrorMessage="1" sqref="H22:H38" xr:uid="{21E1DDEE-59B8-433C-A2C0-095E51607709}">
      <formula1>#REF!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PSA_DocDate xmlns="53d5952e-107a-4ee6-964e-9352f9e22cff">2025-03-31T16:00:42Z</FPSA_DocDate>
    <Opdrachtgever xmlns="53d5952e-107a-4ee6-964e-9352f9e22cff" xsi:nil="true"/>
    <psa_ProcessCode xmlns="53d5952e-107a-4ee6-964e-9352f9e22cff" xsi:nil="true"/>
    <WorkAddress xmlns="http://schemas.microsoft.com/sharepoint/v3" xsi:nil="true"/>
    <psa_Partner xmlns="53d5952e-107a-4ee6-964e-9352f9e22cff">
      <UserInfo>
        <DisplayName/>
        <AccountId xsi:nil="true"/>
        <AccountType/>
      </UserInfo>
    </psa_Partner>
    <Kenmerk_x0020_document xmlns="53d5952e-107a-4ee6-964e-9352f9e22cf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onsultancy Brief NL" ma:contentTypeID="0x010100E25C329622FA6949B3671257743E23B80016CAE0590D764462BBA05FCB6F61095E00C68BDAD90F60494F8BBAC769622F3E33" ma:contentTypeVersion="2" ma:contentTypeDescription="" ma:contentTypeScope="" ma:versionID="fb0abc36239894ad096778ac5cd828f0">
  <xsd:schema xmlns:xsd="http://www.w3.org/2001/XMLSchema" xmlns:xs="http://www.w3.org/2001/XMLSchema" xmlns:p="http://schemas.microsoft.com/office/2006/metadata/properties" xmlns:ns1="http://schemas.microsoft.com/sharepoint/v3" xmlns:ns2="53d5952e-107a-4ee6-964e-9352f9e22cff" targetNamespace="http://schemas.microsoft.com/office/2006/metadata/properties" ma:root="true" ma:fieldsID="6c5d06354cc29f9e2e70fda7ffa0035c" ns1:_="" ns2:_="">
    <xsd:import namespace="http://schemas.microsoft.com/sharepoint/v3"/>
    <xsd:import namespace="53d5952e-107a-4ee6-964e-9352f9e22cff"/>
    <xsd:element name="properties">
      <xsd:complexType>
        <xsd:sequence>
          <xsd:element name="documentManagement">
            <xsd:complexType>
              <xsd:all>
                <xsd:element ref="ns2:FPSA_DocDate" minOccurs="0"/>
                <xsd:element ref="ns2:psa_ProcessCode" minOccurs="0"/>
                <xsd:element ref="ns1:WorkAddress" minOccurs="0"/>
                <xsd:element ref="ns2:psa_Partner" minOccurs="0"/>
                <xsd:element ref="ns2:Opdrachtgever" minOccurs="0"/>
                <xsd:element ref="ns2:Kenmerk_x0020_docu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WorkAddress" ma:index="11" nillable="true" ma:displayName="Address" ma:internalName="WorkAddres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5952e-107a-4ee6-964e-9352f9e22cff" elementFormDefault="qualified">
    <xsd:import namespace="http://schemas.microsoft.com/office/2006/documentManagement/types"/>
    <xsd:import namespace="http://schemas.microsoft.com/office/infopath/2007/PartnerControls"/>
    <xsd:element name="FPSA_DocDate" ma:index="8" nillable="true" ma:displayName="Datum" ma:default="[today]" ma:format="DateOnly" ma:internalName="FPSA_DocDate">
      <xsd:simpleType>
        <xsd:restriction base="dms:DateTime"/>
      </xsd:simpleType>
    </xsd:element>
    <xsd:element name="psa_ProcessCode" ma:index="10" nillable="true" ma:displayName="Process Code" ma:indexed="true" ma:internalName="psa_ProcessCode">
      <xsd:simpleType>
        <xsd:restriction base="dms:Text"/>
      </xsd:simpleType>
    </xsd:element>
    <xsd:element name="psa_Partner" ma:index="12" nillable="true" ma:displayName="Partner" ma:SharePointGroup="17" ma:internalName="psa_Partner" ma:showField="PictureOnly_Size_48px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pdrachtgever" ma:index="13" nillable="true" ma:displayName="Opdrachtgever" ma:internalName="Opdrachtgever">
      <xsd:simpleType>
        <xsd:restriction base="dms:Text">
          <xsd:maxLength value="255"/>
        </xsd:restriction>
      </xsd:simpleType>
    </xsd:element>
    <xsd:element name="Kenmerk_x0020_document" ma:index="14" nillable="true" ma:displayName="Kenmerk document" ma:internalName="Kenmerk_x0020_docum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9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5c5958a3-e7b7-42a1-b42f-c62aa9688ccb" ContentTypeId="0x010100E25C329622FA6949B3671257743E23B80016CAE0590D764462BBA05FCB6F61095E" PreviousValue="false" LastSyncTimeStamp="2021-05-17T12:47:51.133Z"/>
</file>

<file path=customXml/itemProps1.xml><?xml version="1.0" encoding="utf-8"?>
<ds:datastoreItem xmlns:ds="http://schemas.openxmlformats.org/officeDocument/2006/customXml" ds:itemID="{1414F2C8-5D53-40B4-8ED8-0BAD37139F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C32DE17-8868-403D-9558-8D148D82C571}">
  <ds:schemaRefs>
    <ds:schemaRef ds:uri="http://schemas.microsoft.com/sharepoint/v3"/>
    <ds:schemaRef ds:uri="http://purl.org/dc/dcmitype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53d5952e-107a-4ee6-964e-9352f9e22cff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9A12F51-9889-4DA9-96A4-200BB1FD41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3d5952e-107a-4ee6-964e-9352f9e22c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2036DC5-9439-488E-BBB0-101C23808B1F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Vereveningsfonds</vt:lpstr>
      <vt:lpstr>Archief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Daniël Zantinge</dc:creator>
  <cp:keywords/>
  <dc:description/>
  <cp:lastModifiedBy>Daniël Zantinge</cp:lastModifiedBy>
  <cp:revision/>
  <dcterms:created xsi:type="dcterms:W3CDTF">2025-03-31T07:32:07Z</dcterms:created>
  <dcterms:modified xsi:type="dcterms:W3CDTF">2025-09-11T13:40:10Z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0x010100E25C329622FA6949B3671257743E23B80016CAE0590D764462BBA05FCB6F61095E00C68BDAD90F60494F8BBAC769622F3E33</vt:lpwstr>
  </property>
</Properties>
</file>