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Project Bestaanszekerheid\Resultaten\Regelingen maatschappelijke organisaties\Subsidieregeling tegemoetkoming energiekosten\Versie 4\"/>
    </mc:Choice>
  </mc:AlternateContent>
  <bookViews>
    <workbookView xWindow="0" yWindow="0" windowWidth="19080" windowHeight="6105"/>
  </bookViews>
  <sheets>
    <sheet name="Tegemoetkoming Energiekosten" sheetId="1" r:id="rId1"/>
    <sheet name="Berekend verbruik" sheetId="2" r:id="rId2"/>
    <sheet name="Verrekening Prijsplafond" sheetId="3" r:id="rId3"/>
    <sheet name="Vervolgkeuzelijsten"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 l="1"/>
  <c r="H23" i="1"/>
  <c r="C4" i="3"/>
  <c r="C5" i="3"/>
  <c r="C6" i="3"/>
  <c r="C7" i="3"/>
  <c r="C8" i="3"/>
  <c r="C9" i="3"/>
  <c r="C10" i="3"/>
  <c r="C11" i="3"/>
  <c r="C12" i="3"/>
  <c r="C13" i="3"/>
  <c r="C14" i="3"/>
  <c r="C3" i="3"/>
  <c r="B4" i="3"/>
  <c r="B5" i="3"/>
  <c r="B6" i="3"/>
  <c r="B7" i="3"/>
  <c r="B8" i="3"/>
  <c r="B9" i="3"/>
  <c r="B10" i="3"/>
  <c r="B11" i="3"/>
  <c r="B12" i="3"/>
  <c r="B13" i="3"/>
  <c r="B14" i="3"/>
  <c r="B3" i="3"/>
  <c r="G12" i="1" l="1"/>
  <c r="H5" i="1" l="1"/>
  <c r="H6" i="1"/>
  <c r="H7" i="1"/>
  <c r="H8" i="1"/>
  <c r="H9" i="1"/>
  <c r="H10" i="1"/>
  <c r="H11" i="1"/>
  <c r="H12" i="1"/>
  <c r="H13" i="1"/>
  <c r="H14" i="1"/>
  <c r="H15" i="1"/>
  <c r="H4" i="1"/>
  <c r="G5" i="1"/>
  <c r="G6" i="1"/>
  <c r="G7" i="1"/>
  <c r="G8" i="1"/>
  <c r="G9" i="1"/>
  <c r="G10" i="1"/>
  <c r="G11" i="1"/>
  <c r="G13" i="1"/>
  <c r="G14" i="1"/>
  <c r="G15" i="1"/>
  <c r="G4" i="1"/>
  <c r="H16" i="1" l="1"/>
  <c r="G16" i="1"/>
  <c r="I16" i="1" l="1"/>
  <c r="L21" i="1" l="1"/>
  <c r="L20" i="1"/>
  <c r="C18" i="2"/>
  <c r="C19" i="2" s="1"/>
  <c r="B18" i="2"/>
  <c r="B23" i="2" s="1"/>
  <c r="F7" i="3" s="1"/>
  <c r="C15" i="2"/>
  <c r="B15" i="2"/>
  <c r="J7" i="3" l="1"/>
  <c r="L27" i="1" s="1"/>
  <c r="L36" i="1"/>
  <c r="L8" i="1"/>
  <c r="Q8" i="1"/>
  <c r="M4" i="1"/>
  <c r="R4" i="1"/>
  <c r="G3" i="3"/>
  <c r="B26" i="2"/>
  <c r="F10" i="3" s="1"/>
  <c r="C25" i="2"/>
  <c r="G9" i="3" s="1"/>
  <c r="B29" i="2"/>
  <c r="F13" i="3" s="1"/>
  <c r="B25" i="2"/>
  <c r="F9" i="3" s="1"/>
  <c r="C28" i="2"/>
  <c r="G12" i="3" s="1"/>
  <c r="C30" i="2"/>
  <c r="G14" i="3" s="1"/>
  <c r="C26" i="2"/>
  <c r="G10" i="3" s="1"/>
  <c r="C22" i="2"/>
  <c r="G6" i="3" s="1"/>
  <c r="C20" i="2"/>
  <c r="B28" i="2"/>
  <c r="F12" i="3" s="1"/>
  <c r="B24" i="2"/>
  <c r="F8" i="3" s="1"/>
  <c r="B20" i="2"/>
  <c r="C29" i="2"/>
  <c r="G13" i="3" s="1"/>
  <c r="B19" i="2"/>
  <c r="F3" i="3" s="1"/>
  <c r="J3" i="3" s="1"/>
  <c r="L23" i="1" s="1"/>
  <c r="C27" i="2"/>
  <c r="G11" i="3" s="1"/>
  <c r="C23" i="2"/>
  <c r="G7" i="3" s="1"/>
  <c r="B30" i="2"/>
  <c r="F14" i="3" s="1"/>
  <c r="B22" i="2"/>
  <c r="F6" i="3" s="1"/>
  <c r="C21" i="2"/>
  <c r="B21" i="2"/>
  <c r="C24" i="2"/>
  <c r="G8" i="3" s="1"/>
  <c r="B27" i="2"/>
  <c r="F11" i="3" s="1"/>
  <c r="N7" i="3" l="1"/>
  <c r="K7" i="3"/>
  <c r="M27" i="1" s="1"/>
  <c r="K6" i="3"/>
  <c r="M26" i="1" s="1"/>
  <c r="K11" i="3"/>
  <c r="M31" i="1" s="1"/>
  <c r="K10" i="3"/>
  <c r="M30" i="1" s="1"/>
  <c r="K14" i="3"/>
  <c r="M34" i="1" s="1"/>
  <c r="K8" i="3"/>
  <c r="M28" i="1" s="1"/>
  <c r="K12" i="3"/>
  <c r="M32" i="1" s="1"/>
  <c r="K9" i="3"/>
  <c r="M29" i="1" s="1"/>
  <c r="K13" i="3"/>
  <c r="M33" i="1" s="1"/>
  <c r="J11" i="3"/>
  <c r="L31" i="1" s="1"/>
  <c r="J14" i="3"/>
  <c r="L34" i="1" s="1"/>
  <c r="J9" i="3"/>
  <c r="L29" i="1" s="1"/>
  <c r="J8" i="3"/>
  <c r="L28" i="1" s="1"/>
  <c r="J13" i="3"/>
  <c r="L33" i="1" s="1"/>
  <c r="J6" i="3"/>
  <c r="L26" i="1" s="1"/>
  <c r="J12" i="3"/>
  <c r="L32" i="1" s="1"/>
  <c r="J10" i="3"/>
  <c r="L30" i="1" s="1"/>
  <c r="L7" i="1"/>
  <c r="Q7" i="1"/>
  <c r="M12" i="1"/>
  <c r="R12" i="1"/>
  <c r="M10" i="1"/>
  <c r="R10" i="1"/>
  <c r="L14" i="1"/>
  <c r="Q14" i="1"/>
  <c r="L4" i="1"/>
  <c r="Q4" i="1"/>
  <c r="M13" i="1"/>
  <c r="R13" i="1"/>
  <c r="G5" i="3"/>
  <c r="K5" i="3" s="1"/>
  <c r="M25" i="1" s="1"/>
  <c r="R6" i="1"/>
  <c r="L9" i="1"/>
  <c r="Q9" i="1"/>
  <c r="L13" i="1"/>
  <c r="Q13" i="1"/>
  <c r="L15" i="1"/>
  <c r="Q15" i="1"/>
  <c r="G4" i="3"/>
  <c r="K4" i="3" s="1"/>
  <c r="M24" i="1" s="1"/>
  <c r="R5" i="1"/>
  <c r="L11" i="1"/>
  <c r="Q11" i="1"/>
  <c r="M8" i="1"/>
  <c r="R8" i="1"/>
  <c r="M7" i="1"/>
  <c r="R7" i="1"/>
  <c r="M11" i="1"/>
  <c r="R11" i="1"/>
  <c r="L12" i="1"/>
  <c r="Q12" i="1"/>
  <c r="M15" i="1"/>
  <c r="R15" i="1"/>
  <c r="M9" i="1"/>
  <c r="R9" i="1"/>
  <c r="M14" i="1"/>
  <c r="R14" i="1"/>
  <c r="F5" i="3"/>
  <c r="J5" i="3" s="1"/>
  <c r="L25" i="1" s="1"/>
  <c r="Q6" i="1"/>
  <c r="F4" i="3"/>
  <c r="J4" i="3" s="1"/>
  <c r="L24" i="1" s="1"/>
  <c r="Q5" i="1"/>
  <c r="L10" i="1"/>
  <c r="Q10" i="1"/>
  <c r="K3" i="3"/>
  <c r="M23" i="1" s="1"/>
  <c r="M5" i="1"/>
  <c r="M6" i="1"/>
  <c r="L6" i="1"/>
  <c r="L5" i="1"/>
  <c r="N9" i="3" l="1"/>
  <c r="N13" i="3"/>
  <c r="N6" i="3"/>
  <c r="O12" i="3"/>
  <c r="O11" i="3"/>
  <c r="N10" i="3"/>
  <c r="O8" i="3"/>
  <c r="O14" i="3"/>
  <c r="N11" i="3"/>
  <c r="O10" i="3"/>
  <c r="O13" i="3"/>
  <c r="O9" i="3"/>
  <c r="O7" i="3"/>
  <c r="N8" i="3"/>
  <c r="O6" i="3"/>
  <c r="N12" i="3"/>
  <c r="N14" i="3"/>
  <c r="R16" i="1"/>
  <c r="Q16" i="1"/>
  <c r="L16" i="1"/>
  <c r="M16" i="1"/>
  <c r="O5" i="3"/>
  <c r="O3" i="3"/>
  <c r="N4" i="3"/>
  <c r="O4" i="3"/>
  <c r="N5" i="3"/>
  <c r="N3" i="3"/>
  <c r="S16" i="1" l="1"/>
  <c r="N16" i="1"/>
  <c r="G23" i="1" s="1"/>
  <c r="I23" i="1" s="1"/>
  <c r="L37" i="1"/>
  <c r="G24" i="1" l="1"/>
  <c r="G25" i="1" l="1"/>
  <c r="I24" i="1"/>
  <c r="I25" i="1" s="1"/>
</calcChain>
</file>

<file path=xl/comments1.xml><?xml version="1.0" encoding="utf-8"?>
<comments xmlns="http://schemas.openxmlformats.org/spreadsheetml/2006/main">
  <authors>
    <author>Jesse Bouma</author>
  </authors>
  <commentList>
    <comment ref="B8" authorId="0" shapeId="0">
      <text>
        <r>
          <rPr>
            <sz val="9"/>
            <color indexed="81"/>
            <rFont val="Tahoma"/>
            <family val="2"/>
          </rPr>
          <t xml:space="preserve">Geprognotiseerd, exclusief de eventuele opbrengsten over 2022 en/of 2023 van deze subsidieregeling
</t>
        </r>
      </text>
    </comment>
    <comment ref="B38" authorId="0" shapeId="0">
      <text>
        <r>
          <rPr>
            <sz val="9"/>
            <color indexed="81"/>
            <rFont val="Tahoma"/>
            <charset val="1"/>
          </rPr>
          <t xml:space="preserve">Over maanden die in de toekomst liggen kan het zin dat de tarieven nog niet bekend zijn. Voor deze maanden dient de het laatst bekende tarief te worden aangehouden.
</t>
        </r>
      </text>
    </comment>
  </commentList>
</comments>
</file>

<file path=xl/sharedStrings.xml><?xml version="1.0" encoding="utf-8"?>
<sst xmlns="http://schemas.openxmlformats.org/spreadsheetml/2006/main" count="220" uniqueCount="94">
  <si>
    <t>Januari 2022</t>
  </si>
  <si>
    <t>Februari 2022</t>
  </si>
  <si>
    <t>Gas</t>
  </si>
  <si>
    <t>Elektriciteit</t>
  </si>
  <si>
    <t>Maart 2022</t>
  </si>
  <si>
    <t>April 2022</t>
  </si>
  <si>
    <t>Mei 2022</t>
  </si>
  <si>
    <t>Juni 2022</t>
  </si>
  <si>
    <t>Juli 2022</t>
  </si>
  <si>
    <t>Augustus 2022</t>
  </si>
  <si>
    <t>September 2022</t>
  </si>
  <si>
    <t>Oktober 2022</t>
  </si>
  <si>
    <t>November 2022</t>
  </si>
  <si>
    <t>December 2022</t>
  </si>
  <si>
    <t>Januari 2023</t>
  </si>
  <si>
    <t>Februari 2023</t>
  </si>
  <si>
    <t>Maart 2023</t>
  </si>
  <si>
    <t>Organisatienaam</t>
  </si>
  <si>
    <t>Soort organisatie</t>
  </si>
  <si>
    <t>Januari</t>
  </si>
  <si>
    <t>Februari</t>
  </si>
  <si>
    <t>Maart</t>
  </si>
  <si>
    <t>April</t>
  </si>
  <si>
    <t>Mei</t>
  </si>
  <si>
    <t>Juni</t>
  </si>
  <si>
    <t>Juli</t>
  </si>
  <si>
    <t>Augustus</t>
  </si>
  <si>
    <t>September</t>
  </si>
  <si>
    <t>Oktober</t>
  </si>
  <si>
    <t>November</t>
  </si>
  <si>
    <t>December</t>
  </si>
  <si>
    <t>Totaal</t>
  </si>
  <si>
    <t>Berekend verbruik</t>
  </si>
  <si>
    <t>Gas (m3)</t>
  </si>
  <si>
    <t>Elektriciteit (kWh)</t>
  </si>
  <si>
    <t>Elektriciteit (per kWh)</t>
  </si>
  <si>
    <t>Gas (per m3)</t>
  </si>
  <si>
    <t>Hoeveelheden onder prijsplafond</t>
  </si>
  <si>
    <t>Berekend verbruik 2023</t>
  </si>
  <si>
    <t>Maximale hoeveelheden onder prijsplafond</t>
  </si>
  <si>
    <t>Hoeveelheden boven prijsplafond</t>
  </si>
  <si>
    <t>Ja</t>
  </si>
  <si>
    <t>Berekende tegemoetkoming Prijsplafond</t>
  </si>
  <si>
    <t>Geldt voor u het Prijsplafond?</t>
  </si>
  <si>
    <t>Vervolgkeuzelijsten</t>
  </si>
  <si>
    <t>Dorpshuis</t>
  </si>
  <si>
    <t>Kunst en cultuur</t>
  </si>
  <si>
    <t>Bibliotheek</t>
  </si>
  <si>
    <t>Museum</t>
  </si>
  <si>
    <t>Tropische kas</t>
  </si>
  <si>
    <t>Sportvereniging</t>
  </si>
  <si>
    <t>Kerk</t>
  </si>
  <si>
    <t>Prijsplafond</t>
  </si>
  <si>
    <t>Nee</t>
  </si>
  <si>
    <t>Anders</t>
  </si>
  <si>
    <t>Verdeling verbruik</t>
  </si>
  <si>
    <t>Berekende kosten referentieperiode</t>
  </si>
  <si>
    <t>Januari 2019</t>
  </si>
  <si>
    <t>Februari 2019</t>
  </si>
  <si>
    <t>Maart 2019</t>
  </si>
  <si>
    <t>April 2019</t>
  </si>
  <si>
    <t>Mei 2019</t>
  </si>
  <si>
    <t>Juni 2019</t>
  </si>
  <si>
    <t>Juli 2019</t>
  </si>
  <si>
    <t>Augustus 2019</t>
  </si>
  <si>
    <t>September 2019</t>
  </si>
  <si>
    <t>Oktober 2019</t>
  </si>
  <si>
    <t>November 2019</t>
  </si>
  <si>
    <t>December 2019</t>
  </si>
  <si>
    <t>Totaal 2022</t>
  </si>
  <si>
    <t>Totaal 2023</t>
  </si>
  <si>
    <t>Totale variabele kosten</t>
  </si>
  <si>
    <t>Totaal verbruik</t>
  </si>
  <si>
    <t>Jaarafrekening voor corona</t>
  </si>
  <si>
    <t>Laatste jaarafrekening</t>
  </si>
  <si>
    <t xml:space="preserve">Tegemoetkoming Energiekosten Maatschappelijke Organisaties </t>
  </si>
  <si>
    <t>Berekende tegemoetkoming</t>
  </si>
  <si>
    <t>Variabele (gemiddelde) energietarieven</t>
  </si>
  <si>
    <t>December 2023</t>
  </si>
  <si>
    <t>April 2023</t>
  </si>
  <si>
    <t>Mei 2023</t>
  </si>
  <si>
    <t>Juni 2023</t>
  </si>
  <si>
    <t>Juli 2023</t>
  </si>
  <si>
    <t>Augustus 2023</t>
  </si>
  <si>
    <t>September 2023</t>
  </si>
  <si>
    <t>Oktober 2023</t>
  </si>
  <si>
    <t>November 2023</t>
  </si>
  <si>
    <t>Berekende kosten compensatieperiode 2022</t>
  </si>
  <si>
    <t>Berekende kosten compensatieperiode 2023</t>
  </si>
  <si>
    <t>Berekende meerkosten energie</t>
  </si>
  <si>
    <t>Tegemoet-koming</t>
  </si>
  <si>
    <t>Exploitatie-resultaat</t>
  </si>
  <si>
    <t>Exploitatieresultaat 2022</t>
  </si>
  <si>
    <r>
      <t>Exploitatieresultaat 2023</t>
    </r>
    <r>
      <rPr>
        <vertAlign val="superscript"/>
        <sz val="11"/>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</si>
</sst>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quot;€&quot;\ * #,##0.00_ ;_ &quot;€&quot;\ * \-#,##0.00_ ;_ &quot;€&quot;\ * &quot;-&quot;??_ ;_ @_ "/>
    <numFmt numFmtId="164" formatCode="_ &quot;€&quot;\ * #,##0.000_ ;_ &quot;€&quot;\ * \-#,##0.000_ ;_ &quot;€&quot;\ * &quot;-&quot;??_ ;_ @_ "/>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
      <b/>
      <sz val="11"/>
      <color theme="6"/>
      <name val="Calibri"/>
      <family val="2"/>
      <scheme val="minor"/>
    </font>
    <font>
      <sz val="11"/>
      <color theme="6"/>
      <name val="Calibri"/>
      <family val="2"/>
      <scheme val="minor"/>
    </font>
    <font>
      <i/>
      <sz val="11"/>
      <color theme="6"/>
      <name val="Calibri"/>
      <family val="2"/>
      <scheme val="minor"/>
    </font>
    <font>
      <b/>
      <i/>
      <sz val="11"/>
      <color theme="6"/>
      <name val="Calibri"/>
      <family val="2"/>
      <scheme val="minor"/>
    </font>
    <font>
      <sz val="11"/>
      <name val="Calibri"/>
      <family val="2"/>
      <scheme val="minor"/>
    </font>
    <font>
      <vertAlign val="superscript"/>
      <sz val="11"/>
      <color theme="1"/>
      <name val="Calibri"/>
      <family val="2"/>
      <scheme val="minor"/>
    </font>
    <font>
      <sz val="9"/>
      <color indexed="81"/>
      <name val="Tahoma"/>
      <family val="2"/>
    </font>
    <font>
      <sz val="9"/>
      <color indexed="81"/>
      <name val="Tahoma"/>
      <charset val="1"/>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5" tint="0.7999816888943144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6"/>
      </left>
      <right/>
      <top/>
      <bottom style="thin">
        <color theme="6"/>
      </bottom>
      <diagonal/>
    </border>
    <border>
      <left/>
      <right/>
      <top/>
      <bottom style="thin">
        <color theme="6"/>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right style="thin">
        <color theme="6"/>
      </right>
      <top/>
      <bottom style="thin">
        <color theme="6"/>
      </bottom>
      <diagonal/>
    </border>
    <border>
      <left style="medium">
        <color theme="6"/>
      </left>
      <right style="medium">
        <color theme="6"/>
      </right>
      <top style="medium">
        <color theme="6"/>
      </top>
      <bottom style="medium">
        <color theme="6"/>
      </bottom>
      <diagonal/>
    </border>
    <border>
      <left style="medium">
        <color indexed="64"/>
      </left>
      <right style="thin">
        <color theme="6"/>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medium">
        <color theme="6"/>
      </right>
      <top/>
      <bottom style="thin">
        <color theme="6"/>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2">
    <xf numFmtId="0" fontId="0" fillId="0" borderId="0" xfId="0"/>
    <xf numFmtId="49" fontId="0" fillId="0" borderId="0" xfId="0" applyNumberFormat="1" applyAlignment="1">
      <alignment vertical="top"/>
    </xf>
    <xf numFmtId="9" fontId="0" fillId="0" borderId="0" xfId="0" applyNumberFormat="1"/>
    <xf numFmtId="10" fontId="0" fillId="0" borderId="0" xfId="2" applyNumberFormat="1" applyFont="1"/>
    <xf numFmtId="0" fontId="2" fillId="0" borderId="0" xfId="0" applyFont="1"/>
    <xf numFmtId="2" fontId="0" fillId="0" borderId="0" xfId="0" applyNumberFormat="1"/>
    <xf numFmtId="0" fontId="3" fillId="0" borderId="0" xfId="0" applyFont="1"/>
    <xf numFmtId="44" fontId="3" fillId="0" borderId="0" xfId="0" applyNumberFormat="1" applyFont="1"/>
    <xf numFmtId="2" fontId="3" fillId="0" borderId="0" xfId="0" applyNumberFormat="1" applyFont="1"/>
    <xf numFmtId="2" fontId="2" fillId="0" borderId="0" xfId="0" applyNumberFormat="1" applyFont="1"/>
    <xf numFmtId="49" fontId="0" fillId="0" borderId="6" xfId="0" applyNumberFormat="1" applyBorder="1" applyAlignment="1">
      <alignment vertical="top"/>
    </xf>
    <xf numFmtId="0" fontId="0" fillId="3" borderId="11" xfId="0" applyFill="1" applyBorder="1"/>
    <xf numFmtId="0" fontId="0" fillId="3" borderId="12" xfId="0" applyFill="1" applyBorder="1"/>
    <xf numFmtId="49" fontId="0" fillId="3" borderId="13" xfId="0" applyNumberFormat="1" applyFill="1" applyBorder="1" applyAlignment="1">
      <alignment vertical="top"/>
    </xf>
    <xf numFmtId="49" fontId="0" fillId="3" borderId="14" xfId="0" applyNumberFormat="1" applyFill="1" applyBorder="1" applyAlignment="1">
      <alignment vertical="top"/>
    </xf>
    <xf numFmtId="49" fontId="0" fillId="4" borderId="14" xfId="0" applyNumberFormat="1" applyFill="1" applyBorder="1" applyAlignment="1">
      <alignment vertical="top"/>
    </xf>
    <xf numFmtId="0" fontId="0" fillId="4" borderId="11" xfId="0" applyFill="1" applyBorder="1"/>
    <xf numFmtId="0" fontId="0" fillId="4" borderId="12" xfId="0" applyFill="1" applyBorder="1"/>
    <xf numFmtId="49" fontId="5" fillId="3" borderId="10" xfId="0" applyNumberFormat="1" applyFont="1" applyFill="1" applyBorder="1" applyAlignment="1">
      <alignment vertical="top"/>
    </xf>
    <xf numFmtId="49" fontId="5" fillId="4" borderId="10" xfId="0" applyNumberFormat="1" applyFont="1" applyFill="1" applyBorder="1" applyAlignment="1">
      <alignment horizontal="left" vertical="top"/>
    </xf>
    <xf numFmtId="49" fontId="0" fillId="6" borderId="13" xfId="0" applyNumberFormat="1" applyFill="1" applyBorder="1" applyAlignment="1">
      <alignment vertical="top"/>
    </xf>
    <xf numFmtId="49" fontId="0" fillId="6" borderId="14" xfId="0" applyNumberFormat="1" applyFill="1" applyBorder="1" applyAlignment="1">
      <alignment vertical="top"/>
    </xf>
    <xf numFmtId="0" fontId="0" fillId="0" borderId="0" xfId="0" applyBorder="1"/>
    <xf numFmtId="0" fontId="0" fillId="0" borderId="15" xfId="0" applyBorder="1"/>
    <xf numFmtId="49" fontId="3" fillId="0" borderId="6" xfId="0" applyNumberFormat="1" applyFont="1" applyBorder="1" applyAlignment="1">
      <alignment vertical="top"/>
    </xf>
    <xf numFmtId="44" fontId="3" fillId="0" borderId="0" xfId="1" applyFont="1" applyFill="1" applyBorder="1"/>
    <xf numFmtId="44" fontId="3" fillId="0" borderId="15" xfId="1" applyFont="1" applyFill="1" applyBorder="1"/>
    <xf numFmtId="49" fontId="0" fillId="0" borderId="13" xfId="0" applyNumberFormat="1" applyBorder="1" applyAlignment="1">
      <alignment vertical="top"/>
    </xf>
    <xf numFmtId="0" fontId="0" fillId="0" borderId="2" xfId="0" applyBorder="1" applyAlignment="1">
      <alignment horizontal="left"/>
    </xf>
    <xf numFmtId="0" fontId="4" fillId="0" borderId="0" xfId="0" applyFont="1"/>
    <xf numFmtId="0" fontId="7" fillId="0" borderId="0" xfId="0" applyFont="1"/>
    <xf numFmtId="0" fontId="7" fillId="0" borderId="0" xfId="0" applyFont="1" applyBorder="1"/>
    <xf numFmtId="44" fontId="7" fillId="0" borderId="0" xfId="0" applyNumberFormat="1" applyFont="1" applyBorder="1"/>
    <xf numFmtId="44" fontId="8" fillId="0" borderId="0" xfId="0" applyNumberFormat="1" applyFont="1"/>
    <xf numFmtId="44" fontId="8" fillId="0" borderId="0" xfId="0" applyNumberFormat="1" applyFont="1" applyBorder="1"/>
    <xf numFmtId="44" fontId="9" fillId="0" borderId="0" xfId="0" applyNumberFormat="1" applyFont="1" applyBorder="1"/>
    <xf numFmtId="44" fontId="7" fillId="0" borderId="0" xfId="1" applyFont="1" applyBorder="1"/>
    <xf numFmtId="0" fontId="7" fillId="0" borderId="23" xfId="0" applyFont="1" applyBorder="1"/>
    <xf numFmtId="0" fontId="7" fillId="0" borderId="24" xfId="0" applyFont="1" applyBorder="1"/>
    <xf numFmtId="49" fontId="7" fillId="0" borderId="23" xfId="0" applyNumberFormat="1" applyFont="1" applyBorder="1"/>
    <xf numFmtId="44" fontId="7" fillId="0" borderId="24" xfId="0" applyNumberFormat="1" applyFont="1" applyBorder="1"/>
    <xf numFmtId="49" fontId="8" fillId="0" borderId="23" xfId="0" applyNumberFormat="1" applyFont="1" applyBorder="1" applyAlignment="1">
      <alignment vertical="top"/>
    </xf>
    <xf numFmtId="49" fontId="8" fillId="0" borderId="18" xfId="0" applyNumberFormat="1" applyFont="1" applyBorder="1" applyAlignment="1">
      <alignment vertical="top"/>
    </xf>
    <xf numFmtId="44" fontId="8" fillId="0" borderId="19" xfId="0" applyNumberFormat="1" applyFont="1" applyBorder="1"/>
    <xf numFmtId="49" fontId="7" fillId="0" borderId="23" xfId="0" applyNumberFormat="1" applyFont="1" applyBorder="1" applyAlignment="1">
      <alignment vertical="top"/>
    </xf>
    <xf numFmtId="44" fontId="7" fillId="0" borderId="24" xfId="1" applyFont="1" applyBorder="1"/>
    <xf numFmtId="49" fontId="8" fillId="0" borderId="18" xfId="0" applyNumberFormat="1" applyFont="1" applyFill="1" applyBorder="1" applyAlignment="1">
      <alignment vertical="top"/>
    </xf>
    <xf numFmtId="44" fontId="6" fillId="0" borderId="25" xfId="0" applyNumberFormat="1" applyFont="1" applyBorder="1"/>
    <xf numFmtId="44" fontId="9" fillId="0" borderId="26" xfId="0" applyNumberFormat="1" applyFont="1" applyBorder="1"/>
    <xf numFmtId="49" fontId="7" fillId="0" borderId="0" xfId="0" applyNumberFormat="1" applyFont="1" applyBorder="1"/>
    <xf numFmtId="44" fontId="3" fillId="0" borderId="27" xfId="0" applyNumberFormat="1" applyFont="1" applyBorder="1"/>
    <xf numFmtId="0" fontId="6" fillId="0" borderId="20" xfId="0" applyFont="1" applyBorder="1" applyAlignment="1">
      <alignment horizontal="left"/>
    </xf>
    <xf numFmtId="0" fontId="6" fillId="0" borderId="21" xfId="0" applyFont="1" applyBorder="1" applyAlignment="1">
      <alignment horizontal="left"/>
    </xf>
    <xf numFmtId="0" fontId="6" fillId="0" borderId="22" xfId="0" applyFont="1" applyBorder="1" applyAlignment="1">
      <alignment horizontal="left"/>
    </xf>
    <xf numFmtId="0" fontId="2" fillId="5" borderId="2" xfId="0" applyFont="1" applyFill="1" applyBorder="1" applyProtection="1">
      <protection locked="0"/>
    </xf>
    <xf numFmtId="0" fontId="2" fillId="5" borderId="7" xfId="0" applyFont="1" applyFill="1" applyBorder="1" applyProtection="1">
      <protection locked="0"/>
    </xf>
    <xf numFmtId="44" fontId="2" fillId="5" borderId="8" xfId="1" applyFont="1" applyFill="1" applyBorder="1" applyProtection="1">
      <protection locked="0"/>
    </xf>
    <xf numFmtId="44" fontId="2" fillId="5" borderId="9" xfId="1" applyFont="1" applyFill="1" applyBorder="1" applyProtection="1">
      <protection locked="0"/>
    </xf>
    <xf numFmtId="0" fontId="2" fillId="5" borderId="8" xfId="0" applyFont="1" applyFill="1" applyBorder="1" applyProtection="1">
      <protection locked="0"/>
    </xf>
    <xf numFmtId="0" fontId="2" fillId="5" borderId="9" xfId="0" applyFont="1" applyFill="1" applyBorder="1" applyProtection="1">
      <protection locked="0"/>
    </xf>
    <xf numFmtId="164" fontId="2" fillId="5" borderId="2" xfId="1" applyNumberFormat="1" applyFont="1" applyFill="1" applyBorder="1" applyProtection="1">
      <protection locked="0"/>
    </xf>
    <xf numFmtId="164" fontId="2" fillId="5" borderId="7" xfId="1" applyNumberFormat="1" applyFont="1" applyFill="1" applyBorder="1" applyProtection="1">
      <protection locked="0"/>
    </xf>
    <xf numFmtId="164" fontId="2" fillId="5" borderId="8" xfId="1" applyNumberFormat="1" applyFont="1" applyFill="1" applyBorder="1" applyProtection="1">
      <protection locked="0"/>
    </xf>
    <xf numFmtId="164" fontId="2" fillId="5" borderId="9" xfId="1" applyNumberFormat="1" applyFont="1" applyFill="1" applyBorder="1" applyProtection="1">
      <protection locked="0"/>
    </xf>
    <xf numFmtId="164" fontId="2" fillId="5" borderId="29" xfId="1" applyNumberFormat="1" applyFont="1" applyFill="1" applyBorder="1" applyProtection="1">
      <protection locked="0"/>
    </xf>
    <xf numFmtId="164" fontId="2" fillId="5" borderId="30" xfId="1" applyNumberFormat="1" applyFont="1" applyFill="1" applyBorder="1" applyProtection="1">
      <protection locked="0"/>
    </xf>
    <xf numFmtId="49" fontId="0" fillId="6" borderId="10" xfId="0" applyNumberFormat="1" applyFill="1" applyBorder="1" applyAlignment="1">
      <alignment vertical="top"/>
    </xf>
    <xf numFmtId="164" fontId="2" fillId="5" borderId="11" xfId="1" applyNumberFormat="1" applyFont="1" applyFill="1" applyBorder="1" applyProtection="1">
      <protection locked="0"/>
    </xf>
    <xf numFmtId="164" fontId="2" fillId="5" borderId="12" xfId="1" applyNumberFormat="1" applyFont="1" applyFill="1" applyBorder="1" applyProtection="1">
      <protection locked="0"/>
    </xf>
    <xf numFmtId="49" fontId="0" fillId="7" borderId="28" xfId="0" applyNumberFormat="1" applyFill="1" applyBorder="1" applyAlignment="1">
      <alignment vertical="top"/>
    </xf>
    <xf numFmtId="49" fontId="0" fillId="7" borderId="13" xfId="0" applyNumberFormat="1" applyFill="1" applyBorder="1" applyAlignment="1">
      <alignment vertical="top"/>
    </xf>
    <xf numFmtId="49" fontId="0" fillId="7" borderId="14" xfId="0" applyNumberFormat="1" applyFill="1" applyBorder="1" applyAlignment="1">
      <alignment vertical="top"/>
    </xf>
    <xf numFmtId="49" fontId="8" fillId="0" borderId="37" xfId="0" applyNumberFormat="1" applyFont="1" applyBorder="1" applyAlignment="1">
      <alignment vertical="top"/>
    </xf>
    <xf numFmtId="44" fontId="8" fillId="0" borderId="38" xfId="0" applyNumberFormat="1" applyFont="1" applyBorder="1"/>
    <xf numFmtId="49" fontId="8" fillId="0" borderId="38" xfId="0" applyNumberFormat="1" applyFont="1" applyBorder="1" applyAlignment="1">
      <alignment vertical="top"/>
    </xf>
    <xf numFmtId="49" fontId="0" fillId="0" borderId="0" xfId="0" applyNumberFormat="1"/>
    <xf numFmtId="49" fontId="7" fillId="0" borderId="0" xfId="0" applyNumberFormat="1" applyFont="1"/>
    <xf numFmtId="49" fontId="7" fillId="0" borderId="0" xfId="0" applyNumberFormat="1" applyFont="1" applyAlignment="1">
      <alignment vertical="top"/>
    </xf>
    <xf numFmtId="44" fontId="8" fillId="0" borderId="39" xfId="0" applyNumberFormat="1" applyFont="1" applyBorder="1"/>
    <xf numFmtId="49" fontId="0" fillId="0" borderId="14" xfId="0" applyNumberFormat="1" applyBorder="1" applyAlignment="1">
      <alignment vertical="top"/>
    </xf>
    <xf numFmtId="44" fontId="0" fillId="0" borderId="2" xfId="0" applyNumberFormat="1" applyFill="1" applyBorder="1"/>
    <xf numFmtId="44" fontId="0" fillId="0" borderId="2" xfId="0" applyNumberFormat="1" applyBorder="1"/>
    <xf numFmtId="44" fontId="0" fillId="0" borderId="2" xfId="1" applyFont="1" applyBorder="1"/>
    <xf numFmtId="44" fontId="0" fillId="0" borderId="2" xfId="1" applyFont="1" applyFill="1" applyBorder="1"/>
    <xf numFmtId="0" fontId="0" fillId="0" borderId="16" xfId="0" applyBorder="1"/>
    <xf numFmtId="44" fontId="0" fillId="0" borderId="17" xfId="1" applyFont="1" applyBorder="1"/>
    <xf numFmtId="44" fontId="2" fillId="2" borderId="1" xfId="1" applyFont="1" applyFill="1" applyBorder="1"/>
    <xf numFmtId="0" fontId="0" fillId="6" borderId="32" xfId="0" applyFill="1" applyBorder="1" applyAlignment="1">
      <alignment horizontal="left"/>
    </xf>
    <xf numFmtId="0" fontId="0" fillId="6" borderId="35" xfId="0" applyFill="1" applyBorder="1" applyAlignment="1">
      <alignment horizontal="left"/>
    </xf>
    <xf numFmtId="0" fontId="0" fillId="6" borderId="33" xfId="0" applyFill="1" applyBorder="1" applyAlignment="1">
      <alignment horizontal="left"/>
    </xf>
    <xf numFmtId="0" fontId="0" fillId="6" borderId="36" xfId="0" applyFill="1" applyBorder="1" applyAlignment="1">
      <alignment horizontal="left"/>
    </xf>
    <xf numFmtId="0" fontId="6" fillId="0" borderId="20" xfId="0" applyFont="1" applyBorder="1" applyAlignment="1">
      <alignment horizontal="left"/>
    </xf>
    <xf numFmtId="0" fontId="6" fillId="0" borderId="21" xfId="0" applyFont="1" applyBorder="1" applyAlignment="1">
      <alignment horizontal="left"/>
    </xf>
    <xf numFmtId="0" fontId="6" fillId="0" borderId="22" xfId="0" applyFont="1" applyBorder="1" applyAlignment="1">
      <alignment horizontal="left"/>
    </xf>
    <xf numFmtId="44" fontId="10" fillId="5" borderId="2" xfId="1" applyFont="1" applyFill="1" applyBorder="1" applyAlignment="1" applyProtection="1">
      <alignment horizontal="left"/>
      <protection locked="0"/>
    </xf>
    <xf numFmtId="44" fontId="10" fillId="5" borderId="7" xfId="1" applyFont="1" applyFill="1" applyBorder="1" applyAlignment="1" applyProtection="1">
      <alignment horizontal="left"/>
      <protection locked="0"/>
    </xf>
    <xf numFmtId="44" fontId="10" fillId="5" borderId="8" xfId="1" applyFont="1" applyFill="1" applyBorder="1" applyAlignment="1" applyProtection="1">
      <alignment horizontal="left"/>
      <protection locked="0"/>
    </xf>
    <xf numFmtId="44" fontId="10" fillId="5" borderId="9" xfId="1" applyFont="1" applyFill="1" applyBorder="1" applyAlignment="1" applyProtection="1">
      <alignment horizontal="left"/>
      <protection locked="0"/>
    </xf>
    <xf numFmtId="0" fontId="10" fillId="5" borderId="2" xfId="0" applyFont="1" applyFill="1" applyBorder="1" applyAlignment="1" applyProtection="1">
      <alignment horizontal="left"/>
      <protection locked="0"/>
    </xf>
    <xf numFmtId="0" fontId="10" fillId="5" borderId="7" xfId="0" applyFont="1" applyFill="1" applyBorder="1" applyAlignment="1" applyProtection="1">
      <alignment horizontal="left"/>
      <protection locked="0"/>
    </xf>
    <xf numFmtId="0" fontId="0" fillId="5" borderId="2" xfId="0" applyFill="1" applyBorder="1" applyAlignment="1" applyProtection="1">
      <alignment horizontal="left"/>
      <protection locked="0"/>
    </xf>
    <xf numFmtId="0" fontId="0" fillId="5" borderId="7" xfId="0" applyFill="1" applyBorder="1" applyAlignment="1" applyProtection="1">
      <alignment horizontal="left"/>
      <protection locked="0"/>
    </xf>
    <xf numFmtId="49" fontId="2" fillId="0" borderId="3" xfId="0" applyNumberFormat="1" applyFont="1" applyBorder="1" applyAlignment="1">
      <alignment horizontal="left" vertical="top"/>
    </xf>
    <xf numFmtId="49" fontId="2" fillId="0" borderId="4" xfId="0" applyNumberFormat="1" applyFont="1" applyBorder="1" applyAlignment="1">
      <alignment horizontal="left" vertical="top"/>
    </xf>
    <xf numFmtId="49" fontId="2" fillId="0" borderId="5" xfId="0" applyNumberFormat="1" applyFont="1" applyBorder="1" applyAlignment="1">
      <alignment horizontal="left" vertical="top"/>
    </xf>
    <xf numFmtId="49" fontId="5" fillId="6" borderId="31" xfId="0" applyNumberFormat="1" applyFont="1" applyFill="1" applyBorder="1" applyAlignment="1">
      <alignment horizontal="left" vertical="top" wrapText="1"/>
    </xf>
    <xf numFmtId="49" fontId="5" fillId="6" borderId="34" xfId="0" applyNumberFormat="1" applyFont="1" applyFill="1" applyBorder="1" applyAlignment="1">
      <alignment horizontal="left" vertical="top" wrapText="1"/>
    </xf>
    <xf numFmtId="0" fontId="0" fillId="0" borderId="2" xfId="0" applyBorder="1" applyAlignment="1">
      <alignment horizontal="left" wrapText="1"/>
    </xf>
    <xf numFmtId="49" fontId="2" fillId="0" borderId="2" xfId="0" applyNumberFormat="1" applyFont="1" applyBorder="1" applyAlignment="1">
      <alignment horizontal="left" vertical="top"/>
    </xf>
    <xf numFmtId="0" fontId="0" fillId="0" borderId="17" xfId="0" applyBorder="1" applyAlignment="1">
      <alignment horizontal="center"/>
    </xf>
    <xf numFmtId="0" fontId="0" fillId="0" borderId="35" xfId="0" applyBorder="1" applyAlignment="1">
      <alignment horizontal="center"/>
    </xf>
    <xf numFmtId="0" fontId="0" fillId="0" borderId="29" xfId="0" applyBorder="1" applyAlignment="1">
      <alignment horizontal="center"/>
    </xf>
  </cellXfs>
  <cellStyles count="3">
    <cellStyle name="Procent" xfId="2" builtinId="5"/>
    <cellStyle name="Standaard" xfId="0" builtinId="0"/>
    <cellStyle name="Valuta" xfId="1" builtinId="4"/>
  </cellStyles>
  <dxfs count="2">
    <dxf>
      <font>
        <b val="0"/>
        <i/>
        <strike val="0"/>
        <condense val="0"/>
        <extend val="0"/>
        <outline val="0"/>
        <shadow val="0"/>
        <u val="none"/>
        <vertAlign val="baseline"/>
        <sz val="11"/>
        <color theme="1"/>
        <name val="Calibri"/>
        <scheme val="minor"/>
      </font>
    </dxf>
    <dxf>
      <font>
        <b val="0"/>
        <i/>
        <strike val="0"/>
        <condense val="0"/>
        <extend val="0"/>
        <outline val="0"/>
        <shadow val="0"/>
        <u val="none"/>
        <vertAlign val="baseline"/>
        <sz val="11"/>
        <color theme="1"/>
        <name val="Calibri"/>
        <scheme val="minor"/>
      </font>
    </dxf>
  </dxfs>
  <tableStyles count="0" defaultTableStyle="TableStyleMedium2" defaultPivotStyle="PivotStyleLight16"/>
  <colors>
    <mruColors>
      <color rgb="FFFE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190500</xdr:colOff>
      <xdr:row>18</xdr:row>
      <xdr:rowOff>9523</xdr:rowOff>
    </xdr:from>
    <xdr:to>
      <xdr:col>18</xdr:col>
      <xdr:colOff>47625</xdr:colOff>
      <xdr:row>36</xdr:row>
      <xdr:rowOff>104775</xdr:rowOff>
    </xdr:to>
    <xdr:sp macro="" textlink="">
      <xdr:nvSpPr>
        <xdr:cNvPr id="3" name="Tekstvak 2"/>
        <xdr:cNvSpPr txBox="1"/>
      </xdr:nvSpPr>
      <xdr:spPr>
        <a:xfrm>
          <a:off x="11972925" y="3543298"/>
          <a:ext cx="4095750" cy="35718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Eerder ontvangen tegemoetkomingen (vaste</a:t>
          </a:r>
          <a:r>
            <a:rPr lang="nl-NL" sz="1100" baseline="0"/>
            <a:t> korting van 190 euro in november en december 2022, het verbruik onder het prijsplafond in 2023) worden van de Tegemoetkoming Energiekosten Maatschappelijke Organisaties Opsterland afgetrokken. Een eventuele tegemoetkoming vanuit de regeling '</a:t>
          </a:r>
          <a:r>
            <a:rPr lang="nl-NL" sz="1100" baseline="0">
              <a:solidFill>
                <a:schemeClr val="dk1"/>
              </a:solidFill>
              <a:effectLst/>
              <a:latin typeface="+mn-lt"/>
              <a:ea typeface="+mn-ea"/>
              <a:cs typeface="+mn-cs"/>
            </a:rPr>
            <a:t>Tegemoetkoming Energiekosten energie-intensief mkb' wordt van de tegemoetkoming afgetrokken, tenzij deze middelen reeds zijn verwerkt in de berekening van het exploitatieresultaat.</a:t>
          </a:r>
        </a:p>
        <a:p>
          <a:endParaRPr lang="nl-NL" sz="1100" baseline="0"/>
        </a:p>
        <a:p>
          <a:r>
            <a:rPr lang="nl-NL" sz="1100" baseline="0">
              <a:solidFill>
                <a:schemeClr val="dk1"/>
              </a:solidFill>
              <a:effectLst/>
              <a:latin typeface="+mn-lt"/>
              <a:ea typeface="+mn-ea"/>
              <a:cs typeface="+mn-cs"/>
            </a:rPr>
            <a:t>Het verbuik onder het prijsplafond is berekend aan de hand van de door het Rijk gehanteerde 'hoeveelheden gas en stroom tegen de tarieven van het prijsplafond per dag'. Hierbij wordt de volgende formule toegepast:</a:t>
          </a:r>
        </a:p>
        <a:p>
          <a:endParaRPr lang="nl-NL" sz="1100" baseline="0">
            <a:solidFill>
              <a:schemeClr val="dk1"/>
            </a:solidFill>
            <a:effectLst/>
            <a:latin typeface="+mn-lt"/>
            <a:ea typeface="+mn-ea"/>
            <a:cs typeface="+mn-cs"/>
          </a:endParaRPr>
        </a:p>
        <a:p>
          <a:r>
            <a:rPr lang="nl-NL" i="1">
              <a:effectLst/>
            </a:rPr>
            <a:t>Opgegeven variabele kosten - prijsplafond (gas en elektriciteit) *</a:t>
          </a:r>
          <a:r>
            <a:rPr lang="nl-NL" i="1" baseline="0">
              <a:effectLst/>
            </a:rPr>
            <a:t> verbruik onder prijsplafond</a:t>
          </a:r>
        </a:p>
        <a:p>
          <a:endParaRPr lang="nl-NL" baseline="0">
            <a:effectLst/>
          </a:endParaRPr>
        </a:p>
        <a:p>
          <a:r>
            <a:rPr lang="nl-NL" baseline="0">
              <a:effectLst/>
            </a:rPr>
            <a:t>Meer informatie over het prijsplafond is te vinden op: </a:t>
          </a:r>
          <a:r>
            <a:rPr lang="nl-NL">
              <a:hlinkClick xmlns:r="http://schemas.openxmlformats.org/officeDocument/2006/relationships" r:id=""/>
            </a:rPr>
            <a:t>Vanaf 1 januari lagere energierekening door verruimd prijsplafond | Nieuwsbericht | Rijksoverheid.nl</a:t>
          </a:r>
          <a:endParaRPr lang="nl-NL">
            <a:effectLst/>
          </a:endParaRPr>
        </a:p>
      </xdr:txBody>
    </xdr:sp>
    <xdr:clientData/>
  </xdr:twoCellAnchor>
  <xdr:twoCellAnchor>
    <xdr:from>
      <xdr:col>18</xdr:col>
      <xdr:colOff>209550</xdr:colOff>
      <xdr:row>1</xdr:row>
      <xdr:rowOff>9525</xdr:rowOff>
    </xdr:from>
    <xdr:to>
      <xdr:col>21</xdr:col>
      <xdr:colOff>523875</xdr:colOff>
      <xdr:row>9</xdr:row>
      <xdr:rowOff>101600</xdr:rowOff>
    </xdr:to>
    <xdr:sp macro="" textlink="">
      <xdr:nvSpPr>
        <xdr:cNvPr id="4" name="Tekstvak 3"/>
        <xdr:cNvSpPr txBox="1"/>
      </xdr:nvSpPr>
      <xdr:spPr>
        <a:xfrm>
          <a:off x="15992475" y="209550"/>
          <a:ext cx="2533650" cy="1244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De berekende kosten zijn bepaald op</a:t>
          </a:r>
          <a:r>
            <a:rPr lang="nl-NL" sz="1100" baseline="0"/>
            <a:t> basis van het berekende verbruik in het tweede tabblad. Voor de berekening zijn de laagste verbruikswaarden (gas en elektriciteit) van de jaarafrekeningen gebruikt.</a:t>
          </a:r>
          <a:endParaRPr lang="nl-NL" sz="1100"/>
        </a:p>
      </xdr:txBody>
    </xdr:sp>
    <xdr:clientData/>
  </xdr:twoCellAnchor>
  <xdr:twoCellAnchor>
    <xdr:from>
      <xdr:col>0</xdr:col>
      <xdr:colOff>228600</xdr:colOff>
      <xdr:row>43</xdr:row>
      <xdr:rowOff>19051</xdr:rowOff>
    </xdr:from>
    <xdr:to>
      <xdr:col>3</xdr:col>
      <xdr:colOff>552450</xdr:colOff>
      <xdr:row>59</xdr:row>
      <xdr:rowOff>133350</xdr:rowOff>
    </xdr:to>
    <xdr:sp macro="" textlink="">
      <xdr:nvSpPr>
        <xdr:cNvPr id="5" name="Tekstvak 4"/>
        <xdr:cNvSpPr txBox="1"/>
      </xdr:nvSpPr>
      <xdr:spPr>
        <a:xfrm>
          <a:off x="228600" y="8410576"/>
          <a:ext cx="3238500" cy="3162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Over</a:t>
          </a:r>
          <a:r>
            <a:rPr lang="nl-NL" sz="1100" baseline="0"/>
            <a:t> het exploitatieresultaat dient de eventuele bijdrage uit deze subsidieregeling niet te worden meegenomen.</a:t>
          </a:r>
        </a:p>
        <a:p>
          <a:endParaRPr lang="nl-NL" sz="1100" baseline="0"/>
        </a:p>
        <a:p>
          <a:r>
            <a:rPr lang="nl-NL" sz="1100" baseline="0"/>
            <a:t>Heeft u een negatief exploitatieresultaat, vul dan een negatief getal in.</a:t>
          </a:r>
          <a:endParaRPr lang="nl-NL" sz="1100"/>
        </a:p>
        <a:p>
          <a:endParaRPr lang="nl-NL" sz="1100"/>
        </a:p>
        <a:p>
          <a:r>
            <a:rPr lang="nl-NL" sz="1100"/>
            <a:t>'Variabele kosten' is</a:t>
          </a:r>
          <a:r>
            <a:rPr lang="nl-NL" sz="1100" baseline="0"/>
            <a:t> een optelsom van de volgende onderdelen:</a:t>
          </a:r>
        </a:p>
        <a:p>
          <a:r>
            <a:rPr lang="nl-NL" sz="1100" baseline="0"/>
            <a:t>- Variabele leveringskosten</a:t>
          </a:r>
        </a:p>
        <a:p>
          <a:r>
            <a:rPr lang="nl-NL" sz="1100" baseline="0"/>
            <a:t>- Eventueel toeslag variabele leveringskosten</a:t>
          </a:r>
        </a:p>
        <a:p>
          <a:r>
            <a:rPr lang="nl-NL" sz="1100" baseline="0"/>
            <a:t>- Energiebelasting</a:t>
          </a:r>
        </a:p>
        <a:p>
          <a:r>
            <a:rPr lang="nl-NL" sz="1100" baseline="0"/>
            <a:t>- Opslag duurzame energie</a:t>
          </a:r>
        </a:p>
        <a:p>
          <a:r>
            <a:rPr lang="nl-NL" sz="1100" baseline="0"/>
            <a:t>- BTW (</a:t>
          </a:r>
          <a:r>
            <a:rPr lang="nl-NL" sz="1100" b="1" u="sng" baseline="0"/>
            <a:t>mits deze niet verrekenbaar is</a:t>
          </a:r>
          <a:r>
            <a:rPr lang="nl-NL" sz="1100" baseline="0"/>
            <a:t>)</a:t>
          </a:r>
        </a:p>
        <a:p>
          <a:endParaRPr lang="nl-NL" sz="1100" baseline="0"/>
        </a:p>
        <a:p>
          <a:r>
            <a:rPr lang="nl-NL" sz="1100" baseline="0"/>
            <a:t>De vaste leveringskosten en netbeheerkosten worden </a:t>
          </a:r>
          <a:r>
            <a:rPr lang="nl-NL" sz="1100" b="1" u="sng" baseline="0"/>
            <a:t>niet</a:t>
          </a:r>
          <a:r>
            <a:rPr lang="nl-NL" sz="1100" baseline="0"/>
            <a:t> in de tegemoetkoming meegenomen.</a:t>
          </a:r>
          <a:endParaRPr lang="nl-NL" sz="1100"/>
        </a:p>
      </xdr:txBody>
    </xdr:sp>
    <xdr:clientData/>
  </xdr:twoCellAnchor>
  <xdr:twoCellAnchor>
    <xdr:from>
      <xdr:col>5</xdr:col>
      <xdr:colOff>19050</xdr:colOff>
      <xdr:row>26</xdr:row>
      <xdr:rowOff>47624</xdr:rowOff>
    </xdr:from>
    <xdr:to>
      <xdr:col>8</xdr:col>
      <xdr:colOff>609600</xdr:colOff>
      <xdr:row>35</xdr:row>
      <xdr:rowOff>133349</xdr:rowOff>
    </xdr:to>
    <xdr:sp macro="" textlink="">
      <xdr:nvSpPr>
        <xdr:cNvPr id="6" name="Tekstvak 5"/>
        <xdr:cNvSpPr txBox="1"/>
      </xdr:nvSpPr>
      <xdr:spPr>
        <a:xfrm>
          <a:off x="4562475" y="5153024"/>
          <a:ext cx="3590925" cy="1819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De tegemoetkoming</a:t>
          </a:r>
          <a:r>
            <a:rPr lang="nl-NL" sz="1100" baseline="0"/>
            <a:t> van de gemeente is als volgt berekend:</a:t>
          </a:r>
        </a:p>
        <a:p>
          <a:endParaRPr lang="nl-NL" sz="1100" baseline="0"/>
        </a:p>
        <a:p>
          <a:r>
            <a:rPr lang="nl-NL" sz="1100" i="1" baseline="0"/>
            <a:t>(Berekende kosten compensatieperiode - Berekende kosten referentieperiode) </a:t>
          </a:r>
          <a:r>
            <a:rPr lang="nl-NL" sz="1100" b="1" i="1" baseline="0"/>
            <a:t>- </a:t>
          </a:r>
          <a:r>
            <a:rPr lang="nl-NL" sz="1100" b="0" i="1" baseline="0"/>
            <a:t>Eerder ontvangen tegemoetkomingen</a:t>
          </a:r>
        </a:p>
        <a:p>
          <a:endParaRPr lang="nl-NL" sz="1100" b="0" i="1" baseline="0"/>
        </a:p>
        <a:p>
          <a:r>
            <a:rPr lang="nl-NL" sz="1100" b="0" i="0" baseline="0"/>
            <a:t>De tegemoetkoming is nooit meer dan het eventuele negatief exploitatieresultaat. Over 2023 wordt een voorschot van maximaal 75% van de berekende meerkosten verstrekt, indien de definitieve jaarrekening en energiekosten over 2023 nog niet bekend zijn.</a:t>
          </a:r>
          <a:endParaRPr lang="nl-NL"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2</xdr:row>
      <xdr:rowOff>0</xdr:rowOff>
    </xdr:from>
    <xdr:to>
      <xdr:col>7</xdr:col>
      <xdr:colOff>590550</xdr:colOff>
      <xdr:row>12</xdr:row>
      <xdr:rowOff>85725</xdr:rowOff>
    </xdr:to>
    <xdr:sp macro="" textlink="">
      <xdr:nvSpPr>
        <xdr:cNvPr id="2" name="Tekstvak 1"/>
        <xdr:cNvSpPr txBox="1"/>
      </xdr:nvSpPr>
      <xdr:spPr>
        <a:xfrm>
          <a:off x="3181350" y="381000"/>
          <a:ext cx="2828925" cy="1990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Voor</a:t>
          </a:r>
          <a:r>
            <a:rPr lang="nl-NL" sz="1100" baseline="0"/>
            <a:t> de verdeling van het verbruik over het jaar zijn de door het Rijk gebruikte hoeveelheden gas en stroom per dag gehanteerd. De hoeveelheden zijn omgerekend naar het verbruik per maand en in de tabel als percentage van het totaal weergegven.</a:t>
          </a:r>
        </a:p>
        <a:p>
          <a:endParaRPr lang="nl-NL" sz="1100" baseline="0">
            <a:hlinkClick xmlns:r="http://schemas.openxmlformats.org/officeDocument/2006/relationships" r:id=""/>
          </a:endParaRPr>
        </a:p>
        <a:p>
          <a:r>
            <a:rPr lang="nl-NL">
              <a:hlinkClick xmlns:r="http://schemas.openxmlformats.org/officeDocument/2006/relationships" r:id=""/>
            </a:rPr>
            <a:t>Hoeveelheden gas en stroom tegen de tarieven van het prijsplafond per dag | Publicatie | Rijksoverheid.nl</a:t>
          </a:r>
          <a:endParaRPr lang="nl-NL" sz="1100"/>
        </a:p>
      </xdr:txBody>
    </xdr:sp>
    <xdr:clientData/>
  </xdr:twoCellAnchor>
  <xdr:twoCellAnchor>
    <xdr:from>
      <xdr:col>3</xdr:col>
      <xdr:colOff>171450</xdr:colOff>
      <xdr:row>17</xdr:row>
      <xdr:rowOff>0</xdr:rowOff>
    </xdr:from>
    <xdr:to>
      <xdr:col>7</xdr:col>
      <xdr:colOff>523875</xdr:colOff>
      <xdr:row>23</xdr:row>
      <xdr:rowOff>76199</xdr:rowOff>
    </xdr:to>
    <xdr:sp macro="" textlink="">
      <xdr:nvSpPr>
        <xdr:cNvPr id="3" name="Tekstvak 2"/>
        <xdr:cNvSpPr txBox="1"/>
      </xdr:nvSpPr>
      <xdr:spPr>
        <a:xfrm>
          <a:off x="3152775" y="3238500"/>
          <a:ext cx="2790825" cy="1219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Voor het berekenen van het verbruik zijn</a:t>
          </a:r>
          <a:r>
            <a:rPr lang="nl-NL" sz="1100" baseline="0"/>
            <a:t> de laagste verbruikswaarden van de jaarafrekeningen gebruikt. Het verbruik per maand is op basis van bovenstaande tabel (verdeling verbruik) berekend.</a:t>
          </a:r>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17</xdr:row>
      <xdr:rowOff>28575</xdr:rowOff>
    </xdr:from>
    <xdr:to>
      <xdr:col>4</xdr:col>
      <xdr:colOff>200025</xdr:colOff>
      <xdr:row>26</xdr:row>
      <xdr:rowOff>85725</xdr:rowOff>
    </xdr:to>
    <xdr:sp macro="" textlink="">
      <xdr:nvSpPr>
        <xdr:cNvPr id="2" name="Tekstvak 1"/>
        <xdr:cNvSpPr txBox="1"/>
      </xdr:nvSpPr>
      <xdr:spPr>
        <a:xfrm>
          <a:off x="95250" y="3267075"/>
          <a:ext cx="2733675" cy="1771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De maximale hoeveelheden (kWh elektriciteit</a:t>
          </a:r>
          <a:r>
            <a:rPr lang="nl-NL" sz="1100" baseline="0"/>
            <a:t> en m3 gas) zijn berekend aan de hand van de door het Rijk gehanteerde 'hoeveelheden gas en stroom tegen de tarieven van het prijsplafond per dag'.</a:t>
          </a:r>
        </a:p>
        <a:p>
          <a:endParaRPr lang="nl-NL" sz="1100" baseline="0"/>
        </a:p>
        <a:p>
          <a:r>
            <a:rPr lang="nl-NL">
              <a:hlinkClick xmlns:r="http://schemas.openxmlformats.org/officeDocument/2006/relationships" r:id=""/>
            </a:rPr>
            <a:t>Hoeveelheden gas en stroom tegen de tarieven van het prijsplafond per dag | Publicatie | Rijksoverheid.nl</a:t>
          </a:r>
          <a:endParaRPr lang="nl-NL" sz="1100"/>
        </a:p>
      </xdr:txBody>
    </xdr:sp>
    <xdr:clientData/>
  </xdr:twoCellAnchor>
  <xdr:twoCellAnchor>
    <xdr:from>
      <xdr:col>8</xdr:col>
      <xdr:colOff>28575</xdr:colOff>
      <xdr:row>17</xdr:row>
      <xdr:rowOff>38100</xdr:rowOff>
    </xdr:from>
    <xdr:to>
      <xdr:col>12</xdr:col>
      <xdr:colOff>276225</xdr:colOff>
      <xdr:row>23</xdr:row>
      <xdr:rowOff>123825</xdr:rowOff>
    </xdr:to>
    <xdr:sp macro="" textlink="">
      <xdr:nvSpPr>
        <xdr:cNvPr id="3" name="Tekstvak 2"/>
        <xdr:cNvSpPr txBox="1"/>
      </xdr:nvSpPr>
      <xdr:spPr>
        <a:xfrm>
          <a:off x="5095875" y="3276600"/>
          <a:ext cx="2686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De hoeveelheden onder het prijsplafond zijn de laagste waardes van het berekende verbruik in 2023</a:t>
          </a:r>
          <a:r>
            <a:rPr lang="nl-NL" sz="1100" baseline="0"/>
            <a:t> en de maximale hoeveelheden onder het prijsplafond.</a:t>
          </a:r>
          <a:endParaRPr lang="nl-NL" sz="1100"/>
        </a:p>
      </xdr:txBody>
    </xdr:sp>
    <xdr:clientData/>
  </xdr:twoCellAnchor>
</xdr:wsDr>
</file>

<file path=xl/tables/table1.xml><?xml version="1.0" encoding="utf-8"?>
<table xmlns="http://schemas.openxmlformats.org/spreadsheetml/2006/main" id="1" name="Tabel1" displayName="Tabel1" ref="A3:A11" totalsRowShown="0" headerRowDxfId="1">
  <autoFilter ref="A3:A11"/>
  <tableColumns count="1">
    <tableColumn id="1" name="Soort organisatie"/>
  </tableColumns>
  <tableStyleInfo name="TableStyleMedium2" showFirstColumn="0" showLastColumn="0" showRowStripes="1" showColumnStripes="0"/>
</table>
</file>

<file path=xl/tables/table2.xml><?xml version="1.0" encoding="utf-8"?>
<table xmlns="http://schemas.openxmlformats.org/spreadsheetml/2006/main" id="2" name="Tabel2" displayName="Tabel2" ref="C3:C5" totalsRowShown="0" headerRowDxfId="0">
  <autoFilter ref="C3:C5"/>
  <tableColumns count="1">
    <tableColumn id="1" name="Prijsplafond"/>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42"/>
  <sheetViews>
    <sheetView tabSelected="1" zoomScaleNormal="100" workbookViewId="0">
      <selection activeCell="D60" sqref="D60"/>
    </sheetView>
  </sheetViews>
  <sheetFormatPr defaultRowHeight="15" x14ac:dyDescent="0.25"/>
  <cols>
    <col min="1" max="1" width="3.5703125" customWidth="1"/>
    <col min="2" max="2" width="28" style="1" customWidth="1"/>
    <col min="3" max="3" width="12.140625" bestFit="1" customWidth="1"/>
    <col min="4" max="4" width="20.85546875" bestFit="1" customWidth="1"/>
    <col min="5" max="5" width="3.5703125" customWidth="1"/>
    <col min="6" max="9" width="15" customWidth="1"/>
    <col min="10" max="10" width="3.5703125" customWidth="1"/>
    <col min="11" max="14" width="15" customWidth="1"/>
    <col min="15" max="15" width="3.5703125" customWidth="1"/>
    <col min="16" max="19" width="15" customWidth="1"/>
  </cols>
  <sheetData>
    <row r="1" spans="2:19" ht="15.75" thickBot="1" x14ac:dyDescent="0.3"/>
    <row r="2" spans="2:19" x14ac:dyDescent="0.25">
      <c r="B2" s="102" t="s">
        <v>75</v>
      </c>
      <c r="C2" s="103"/>
      <c r="D2" s="104"/>
      <c r="F2" s="91" t="s">
        <v>56</v>
      </c>
      <c r="G2" s="92"/>
      <c r="H2" s="93"/>
      <c r="I2" s="30"/>
      <c r="J2" s="30"/>
      <c r="K2" s="91" t="s">
        <v>87</v>
      </c>
      <c r="L2" s="92"/>
      <c r="M2" s="93"/>
      <c r="N2" s="30"/>
      <c r="O2" s="30"/>
      <c r="P2" s="91" t="s">
        <v>88</v>
      </c>
      <c r="Q2" s="92"/>
      <c r="R2" s="93"/>
      <c r="S2" s="30"/>
    </row>
    <row r="3" spans="2:19" x14ac:dyDescent="0.25">
      <c r="B3" s="27" t="s">
        <v>17</v>
      </c>
      <c r="C3" s="98"/>
      <c r="D3" s="99"/>
      <c r="F3" s="37"/>
      <c r="G3" s="31" t="s">
        <v>2</v>
      </c>
      <c r="H3" s="38" t="s">
        <v>3</v>
      </c>
      <c r="I3" s="30"/>
      <c r="J3" s="30"/>
      <c r="K3" s="37"/>
      <c r="L3" s="31" t="s">
        <v>2</v>
      </c>
      <c r="M3" s="38" t="s">
        <v>3</v>
      </c>
      <c r="N3" s="30"/>
      <c r="O3" s="30"/>
      <c r="P3" s="37"/>
      <c r="Q3" s="31" t="s">
        <v>2</v>
      </c>
      <c r="R3" s="38" t="s">
        <v>3</v>
      </c>
      <c r="S3" s="30"/>
    </row>
    <row r="4" spans="2:19" x14ac:dyDescent="0.25">
      <c r="B4" s="27" t="s">
        <v>18</v>
      </c>
      <c r="C4" s="100"/>
      <c r="D4" s="101"/>
      <c r="F4" s="39" t="s">
        <v>57</v>
      </c>
      <c r="G4" s="32">
        <f>SMALL(($C$11,$C$15),1)*'Berekend verbruik'!B3*($C$12/$C$11)</f>
        <v>0</v>
      </c>
      <c r="H4" s="40">
        <f>SMALL(($D$11,$D$15),1)*'Berekend verbruik'!C3*($D$12/$D$11)</f>
        <v>0</v>
      </c>
      <c r="I4" s="30"/>
      <c r="J4" s="30"/>
      <c r="K4" s="44" t="s">
        <v>0</v>
      </c>
      <c r="L4" s="32">
        <f>'Berekend verbruik'!B19*C19</f>
        <v>0</v>
      </c>
      <c r="M4" s="40">
        <f>'Berekend verbruik'!C19*D19</f>
        <v>0</v>
      </c>
      <c r="N4" s="30"/>
      <c r="O4" s="30"/>
      <c r="P4" s="44" t="s">
        <v>0</v>
      </c>
      <c r="Q4" s="32">
        <f>'Berekend verbruik'!B19*C31</f>
        <v>0</v>
      </c>
      <c r="R4" s="40">
        <f>'Berekend verbruik'!C19*D31</f>
        <v>0</v>
      </c>
      <c r="S4" s="30"/>
    </row>
    <row r="5" spans="2:19" x14ac:dyDescent="0.25">
      <c r="B5" s="10"/>
      <c r="C5" s="22"/>
      <c r="D5" s="23"/>
      <c r="F5" s="39" t="s">
        <v>58</v>
      </c>
      <c r="G5" s="32">
        <f>SMALL(($C$11,$C$15),1)*'Berekend verbruik'!B4*($C$12/$C$11)</f>
        <v>0</v>
      </c>
      <c r="H5" s="40">
        <f>SMALL(($D$11,$D$15),1)*'Berekend verbruik'!C4*($D$12/$D$11)</f>
        <v>0</v>
      </c>
      <c r="I5" s="30"/>
      <c r="J5" s="30"/>
      <c r="K5" s="44" t="s">
        <v>1</v>
      </c>
      <c r="L5" s="32">
        <f>'Berekend verbruik'!B20*C20</f>
        <v>0</v>
      </c>
      <c r="M5" s="40">
        <f>'Berekend verbruik'!C20*D20</f>
        <v>0</v>
      </c>
      <c r="N5" s="30"/>
      <c r="O5" s="30"/>
      <c r="P5" s="44" t="s">
        <v>1</v>
      </c>
      <c r="Q5" s="32">
        <f>'Berekend verbruik'!B20*C32</f>
        <v>0</v>
      </c>
      <c r="R5" s="40">
        <f>'Berekend verbruik'!C20*D32</f>
        <v>0</v>
      </c>
      <c r="S5" s="30"/>
    </row>
    <row r="6" spans="2:19" x14ac:dyDescent="0.25">
      <c r="B6" s="27" t="s">
        <v>43</v>
      </c>
      <c r="C6" s="100" t="s">
        <v>53</v>
      </c>
      <c r="D6" s="101"/>
      <c r="F6" s="39" t="s">
        <v>59</v>
      </c>
      <c r="G6" s="32">
        <f>SMALL(($C$11,$C$15),1)*'Berekend verbruik'!B5*($C$12/$C$11)</f>
        <v>0</v>
      </c>
      <c r="H6" s="40">
        <f>SMALL(($D$11,$D$15),1)*'Berekend verbruik'!C5*($D$12/$D$11)</f>
        <v>0</v>
      </c>
      <c r="I6" s="30"/>
      <c r="J6" s="30"/>
      <c r="K6" s="44" t="s">
        <v>4</v>
      </c>
      <c r="L6" s="32">
        <f>'Berekend verbruik'!B21*C21</f>
        <v>0</v>
      </c>
      <c r="M6" s="40">
        <f>'Berekend verbruik'!C21*D21</f>
        <v>0</v>
      </c>
      <c r="N6" s="30"/>
      <c r="O6" s="30"/>
      <c r="P6" s="44" t="s">
        <v>4</v>
      </c>
      <c r="Q6" s="32">
        <f>'Berekend verbruik'!B21*C33</f>
        <v>0</v>
      </c>
      <c r="R6" s="40">
        <f>'Berekend verbruik'!C21*D33</f>
        <v>0</v>
      </c>
      <c r="S6" s="30"/>
    </row>
    <row r="7" spans="2:19" x14ac:dyDescent="0.25">
      <c r="B7" s="27" t="s">
        <v>92</v>
      </c>
      <c r="C7" s="94"/>
      <c r="D7" s="95"/>
      <c r="F7" s="39" t="s">
        <v>60</v>
      </c>
      <c r="G7" s="32">
        <f>SMALL(($C$11,$C$15),1)*'Berekend verbruik'!B6*($C$12/$C$11)</f>
        <v>0</v>
      </c>
      <c r="H7" s="40">
        <f>SMALL(($D$11,$D$15),1)*'Berekend verbruik'!C6*($D$12/$D$11)</f>
        <v>0</v>
      </c>
      <c r="I7" s="30"/>
      <c r="J7" s="30"/>
      <c r="K7" s="44" t="s">
        <v>5</v>
      </c>
      <c r="L7" s="32">
        <f>'Berekend verbruik'!B22*C22</f>
        <v>0</v>
      </c>
      <c r="M7" s="40">
        <f>'Berekend verbruik'!C22*D22</f>
        <v>0</v>
      </c>
      <c r="N7" s="30"/>
      <c r="O7" s="30"/>
      <c r="P7" s="44" t="s">
        <v>5</v>
      </c>
      <c r="Q7" s="32">
        <f>'Berekend verbruik'!B22*C34</f>
        <v>0</v>
      </c>
      <c r="R7" s="40">
        <f>'Berekend verbruik'!C22*D34</f>
        <v>0</v>
      </c>
      <c r="S7" s="30"/>
    </row>
    <row r="8" spans="2:19" ht="18" thickBot="1" x14ac:dyDescent="0.3">
      <c r="B8" s="79" t="s">
        <v>93</v>
      </c>
      <c r="C8" s="96"/>
      <c r="D8" s="97"/>
      <c r="F8" s="39" t="s">
        <v>61</v>
      </c>
      <c r="G8" s="32">
        <f>SMALL(($C$11,$C$15),1)*'Berekend verbruik'!B7*($C$12/$C$11)</f>
        <v>0</v>
      </c>
      <c r="H8" s="40">
        <f>SMALL(($D$11,$D$15),1)*'Berekend verbruik'!C7*($D$12/$D$11)</f>
        <v>0</v>
      </c>
      <c r="I8" s="30"/>
      <c r="J8" s="30"/>
      <c r="K8" s="44" t="s">
        <v>6</v>
      </c>
      <c r="L8" s="32">
        <f>'Berekend verbruik'!B23*C23</f>
        <v>0</v>
      </c>
      <c r="M8" s="40">
        <f>'Berekend verbruik'!C23*D23</f>
        <v>0</v>
      </c>
      <c r="N8" s="30"/>
      <c r="O8" s="30"/>
      <c r="P8" s="44" t="s">
        <v>6</v>
      </c>
      <c r="Q8" s="32">
        <f>'Berekend verbruik'!B23*C35</f>
        <v>0</v>
      </c>
      <c r="R8" s="40">
        <f>'Berekend verbruik'!C23*D35</f>
        <v>0</v>
      </c>
      <c r="S8" s="30"/>
    </row>
    <row r="9" spans="2:19" ht="15.75" thickBot="1" x14ac:dyDescent="0.3">
      <c r="B9" s="10"/>
      <c r="C9" s="22"/>
      <c r="D9" s="23"/>
      <c r="F9" s="39" t="s">
        <v>62</v>
      </c>
      <c r="G9" s="32">
        <f>SMALL(($C$11,$C$15),1)*'Berekend verbruik'!B8*($C$12/$C$11)</f>
        <v>0</v>
      </c>
      <c r="H9" s="40">
        <f>SMALL(($D$11,$D$15),1)*'Berekend verbruik'!C8*($D$12/$D$11)</f>
        <v>0</v>
      </c>
      <c r="I9" s="30"/>
      <c r="J9" s="30"/>
      <c r="K9" s="44" t="s">
        <v>7</v>
      </c>
      <c r="L9" s="32">
        <f>'Berekend verbruik'!B24*C24</f>
        <v>0</v>
      </c>
      <c r="M9" s="40">
        <f>'Berekend verbruik'!C24*D24</f>
        <v>0</v>
      </c>
      <c r="N9" s="30"/>
      <c r="O9" s="30"/>
      <c r="P9" s="44" t="s">
        <v>7</v>
      </c>
      <c r="Q9" s="32">
        <f>'Berekend verbruik'!B24*C36</f>
        <v>0</v>
      </c>
      <c r="R9" s="40">
        <f>'Berekend verbruik'!C24*D36</f>
        <v>0</v>
      </c>
      <c r="S9" s="30"/>
    </row>
    <row r="10" spans="2:19" ht="15.75" x14ac:dyDescent="0.25">
      <c r="B10" s="18" t="s">
        <v>73</v>
      </c>
      <c r="C10" s="11" t="s">
        <v>33</v>
      </c>
      <c r="D10" s="12" t="s">
        <v>34</v>
      </c>
      <c r="F10" s="39" t="s">
        <v>63</v>
      </c>
      <c r="G10" s="32">
        <f>SMALL(($C$11,$C$15),1)*'Berekend verbruik'!B9*($C$12/$C$11)</f>
        <v>0</v>
      </c>
      <c r="H10" s="40">
        <f>SMALL(($D$11,$D$15),1)*'Berekend verbruik'!C9*($D$12/$D$11)</f>
        <v>0</v>
      </c>
      <c r="I10" s="33"/>
      <c r="J10" s="33"/>
      <c r="K10" s="44" t="s">
        <v>8</v>
      </c>
      <c r="L10" s="32">
        <f>'Berekend verbruik'!B25*C25</f>
        <v>0</v>
      </c>
      <c r="M10" s="40">
        <f>'Berekend verbruik'!C25*D25</f>
        <v>0</v>
      </c>
      <c r="N10" s="30"/>
      <c r="O10" s="30"/>
      <c r="P10" s="44" t="s">
        <v>8</v>
      </c>
      <c r="Q10" s="32">
        <f>'Berekend verbruik'!B25*C37</f>
        <v>0</v>
      </c>
      <c r="R10" s="40">
        <f>'Berekend verbruik'!C25*D37</f>
        <v>0</v>
      </c>
      <c r="S10" s="30"/>
    </row>
    <row r="11" spans="2:19" x14ac:dyDescent="0.25">
      <c r="B11" s="13" t="s">
        <v>72</v>
      </c>
      <c r="C11" s="54">
        <v>1</v>
      </c>
      <c r="D11" s="55">
        <v>1</v>
      </c>
      <c r="E11" s="6"/>
      <c r="F11" s="49" t="s">
        <v>64</v>
      </c>
      <c r="G11" s="32">
        <f>SMALL(($C$11,$C$15),1)*'Berekend verbruik'!B10*($C$12/$C$11)</f>
        <v>0</v>
      </c>
      <c r="H11" s="40">
        <f>SMALL(($D$11,$D$15),1)*'Berekend verbruik'!C10*($D$12/$D$11)</f>
        <v>0</v>
      </c>
      <c r="I11" s="33"/>
      <c r="J11" s="33"/>
      <c r="K11" s="44" t="s">
        <v>9</v>
      </c>
      <c r="L11" s="32">
        <f>'Berekend verbruik'!B26*C26</f>
        <v>0</v>
      </c>
      <c r="M11" s="40">
        <f>'Berekend verbruik'!C26*D26</f>
        <v>0</v>
      </c>
      <c r="N11" s="30"/>
      <c r="O11" s="30"/>
      <c r="P11" s="44" t="s">
        <v>9</v>
      </c>
      <c r="Q11" s="32">
        <f>'Berekend verbruik'!B26*C38</f>
        <v>0</v>
      </c>
      <c r="R11" s="40">
        <f>'Berekend verbruik'!C26*D38</f>
        <v>0</v>
      </c>
      <c r="S11" s="30"/>
    </row>
    <row r="12" spans="2:19" ht="15.75" thickBot="1" x14ac:dyDescent="0.3">
      <c r="B12" s="14" t="s">
        <v>71</v>
      </c>
      <c r="C12" s="56">
        <v>0</v>
      </c>
      <c r="D12" s="57">
        <v>0</v>
      </c>
      <c r="E12" s="7"/>
      <c r="F12" s="39" t="s">
        <v>65</v>
      </c>
      <c r="G12" s="32">
        <f>SMALL(($C$11,$C$15),1)*'Berekend verbruik'!B11*($C$12/$C$11)</f>
        <v>0</v>
      </c>
      <c r="H12" s="40">
        <f>SMALL(($D$11,$D$15),1)*'Berekend verbruik'!C11*($D$12/$D$11)</f>
        <v>0</v>
      </c>
      <c r="I12" s="30"/>
      <c r="J12" s="30"/>
      <c r="K12" s="44" t="s">
        <v>10</v>
      </c>
      <c r="L12" s="32">
        <f>'Berekend verbruik'!B27*C27</f>
        <v>0</v>
      </c>
      <c r="M12" s="40">
        <f>'Berekend verbruik'!C27*D27</f>
        <v>0</v>
      </c>
      <c r="N12" s="30"/>
      <c r="O12" s="30"/>
      <c r="P12" s="44" t="s">
        <v>10</v>
      </c>
      <c r="Q12" s="32">
        <f>'Berekend verbruik'!B27*C39</f>
        <v>0</v>
      </c>
      <c r="R12" s="40">
        <f>'Berekend verbruik'!C27*D39</f>
        <v>0</v>
      </c>
      <c r="S12" s="30"/>
    </row>
    <row r="13" spans="2:19" ht="15.75" thickBot="1" x14ac:dyDescent="0.3">
      <c r="B13" s="24"/>
      <c r="C13" s="25"/>
      <c r="D13" s="26"/>
      <c r="E13" s="50"/>
      <c r="F13" s="39" t="s">
        <v>66</v>
      </c>
      <c r="G13" s="32">
        <f>SMALL(($C$11,$C$15),1)*'Berekend verbruik'!B12*($C$12/$C$11)</f>
        <v>0</v>
      </c>
      <c r="H13" s="40">
        <f>SMALL(($D$11,$D$15),1)*'Berekend verbruik'!C12*($D$12/$D$11)</f>
        <v>0</v>
      </c>
      <c r="I13" s="30"/>
      <c r="J13" s="30"/>
      <c r="K13" s="44" t="s">
        <v>11</v>
      </c>
      <c r="L13" s="32">
        <f>'Berekend verbruik'!B28*C28</f>
        <v>0</v>
      </c>
      <c r="M13" s="40">
        <f>'Berekend verbruik'!C28*D28</f>
        <v>0</v>
      </c>
      <c r="N13" s="30"/>
      <c r="O13" s="30"/>
      <c r="P13" s="44" t="s">
        <v>11</v>
      </c>
      <c r="Q13" s="32">
        <f>'Berekend verbruik'!B28*C40</f>
        <v>0</v>
      </c>
      <c r="R13" s="40">
        <f>'Berekend verbruik'!C28*D40</f>
        <v>0</v>
      </c>
      <c r="S13" s="30"/>
    </row>
    <row r="14" spans="2:19" ht="15.75" x14ac:dyDescent="0.25">
      <c r="B14" s="19" t="s">
        <v>74</v>
      </c>
      <c r="C14" s="16" t="s">
        <v>33</v>
      </c>
      <c r="D14" s="17" t="s">
        <v>34</v>
      </c>
      <c r="F14" s="39" t="s">
        <v>67</v>
      </c>
      <c r="G14" s="32">
        <f>SMALL(($C$11,$C$15),1)*'Berekend verbruik'!B13*($C$12/$C$11)</f>
        <v>0</v>
      </c>
      <c r="H14" s="40">
        <f>SMALL(($D$11,$D$15),1)*'Berekend verbruik'!C13*($D$12/$D$11)</f>
        <v>0</v>
      </c>
      <c r="I14" s="30"/>
      <c r="J14" s="30"/>
      <c r="K14" s="44" t="s">
        <v>12</v>
      </c>
      <c r="L14" s="32">
        <f>'Berekend verbruik'!B29*C29</f>
        <v>0</v>
      </c>
      <c r="M14" s="40">
        <f>'Berekend verbruik'!C29*D29</f>
        <v>0</v>
      </c>
      <c r="N14" s="30"/>
      <c r="O14" s="30"/>
      <c r="P14" s="44" t="s">
        <v>12</v>
      </c>
      <c r="Q14" s="32">
        <f>'Berekend verbruik'!B29*C41</f>
        <v>0</v>
      </c>
      <c r="R14" s="40">
        <f>'Berekend verbruik'!C29*D41</f>
        <v>0</v>
      </c>
      <c r="S14" s="30"/>
    </row>
    <row r="15" spans="2:19" ht="15.75" thickBot="1" x14ac:dyDescent="0.3">
      <c r="B15" s="15" t="s">
        <v>72</v>
      </c>
      <c r="C15" s="58">
        <v>1</v>
      </c>
      <c r="D15" s="59">
        <v>1</v>
      </c>
      <c r="F15" s="39" t="s">
        <v>68</v>
      </c>
      <c r="G15" s="32">
        <f>SMALL(($C$11,$C$15),1)*'Berekend verbruik'!B14*($C$12/$C$11)</f>
        <v>0</v>
      </c>
      <c r="H15" s="40">
        <f>SMALL(($D$11,$D$15),1)*'Berekend verbruik'!C14*($D$12/$D$11)</f>
        <v>0</v>
      </c>
      <c r="I15" s="31"/>
      <c r="J15" s="30"/>
      <c r="K15" s="44" t="s">
        <v>13</v>
      </c>
      <c r="L15" s="32">
        <f>'Berekend verbruik'!B30*C30</f>
        <v>0</v>
      </c>
      <c r="M15" s="40">
        <f>'Berekend verbruik'!C30*D30</f>
        <v>0</v>
      </c>
      <c r="N15" s="30"/>
      <c r="O15" s="30"/>
      <c r="P15" s="44" t="s">
        <v>13</v>
      </c>
      <c r="Q15" s="32">
        <f>'Berekend verbruik'!B30*C42</f>
        <v>0</v>
      </c>
      <c r="R15" s="40">
        <f>'Berekend verbruik'!C30*D42</f>
        <v>0</v>
      </c>
      <c r="S15" s="30"/>
    </row>
    <row r="16" spans="2:19" ht="15.75" thickBot="1" x14ac:dyDescent="0.3">
      <c r="B16" s="10"/>
      <c r="C16" s="22"/>
      <c r="D16" s="23"/>
      <c r="F16" s="42" t="s">
        <v>31</v>
      </c>
      <c r="G16" s="43">
        <f>SUM(G4:G15)</f>
        <v>0</v>
      </c>
      <c r="H16" s="78">
        <f>SUM(H4:H15)</f>
        <v>0</v>
      </c>
      <c r="I16" s="48">
        <f>G16+H16</f>
        <v>0</v>
      </c>
      <c r="J16" s="35"/>
      <c r="K16" s="72" t="s">
        <v>31</v>
      </c>
      <c r="L16" s="73">
        <f>SUM(L4:L15)</f>
        <v>0</v>
      </c>
      <c r="M16" s="73">
        <f>SUM(M4:M15)</f>
        <v>0</v>
      </c>
      <c r="N16" s="48">
        <f>L16+M16</f>
        <v>0</v>
      </c>
      <c r="O16" s="35"/>
      <c r="P16" s="74" t="s">
        <v>31</v>
      </c>
      <c r="Q16" s="73">
        <f>SUM(Q4:Q15)</f>
        <v>0</v>
      </c>
      <c r="R16" s="73">
        <f>SUM(R4:R15)</f>
        <v>0</v>
      </c>
      <c r="S16" s="48">
        <f>Q16+R16</f>
        <v>0</v>
      </c>
    </row>
    <row r="17" spans="2:19" ht="15" customHeight="1" x14ac:dyDescent="0.25">
      <c r="B17" s="105" t="s">
        <v>77</v>
      </c>
      <c r="C17" s="87" t="s">
        <v>36</v>
      </c>
      <c r="D17" s="89" t="s">
        <v>35</v>
      </c>
      <c r="F17" s="49"/>
      <c r="G17" s="31"/>
      <c r="H17" s="31"/>
      <c r="I17" s="31"/>
      <c r="J17" s="30"/>
      <c r="K17" s="31"/>
      <c r="L17" s="31"/>
      <c r="M17" s="31"/>
      <c r="N17" s="31"/>
      <c r="O17" s="31"/>
      <c r="P17" s="31"/>
      <c r="Q17" s="31"/>
      <c r="R17" s="31"/>
      <c r="S17" s="31"/>
    </row>
    <row r="18" spans="2:19" ht="16.5" customHeight="1" thickBot="1" x14ac:dyDescent="0.3">
      <c r="B18" s="106"/>
      <c r="C18" s="88"/>
      <c r="D18" s="90"/>
      <c r="F18" s="31"/>
      <c r="G18" s="31"/>
      <c r="H18" s="31"/>
      <c r="I18" s="31"/>
      <c r="J18" s="30"/>
      <c r="K18" s="31"/>
      <c r="L18" s="31"/>
      <c r="M18" s="31"/>
      <c r="N18" s="31"/>
      <c r="O18" s="31"/>
      <c r="P18" s="31"/>
      <c r="Q18" s="31"/>
      <c r="R18" s="31"/>
      <c r="S18" s="31"/>
    </row>
    <row r="19" spans="2:19" x14ac:dyDescent="0.25">
      <c r="B19" s="66" t="s">
        <v>0</v>
      </c>
      <c r="C19" s="67">
        <v>0</v>
      </c>
      <c r="D19" s="68">
        <v>0</v>
      </c>
      <c r="F19" s="108" t="s">
        <v>76</v>
      </c>
      <c r="G19" s="108"/>
      <c r="H19" s="108"/>
      <c r="I19" s="108"/>
      <c r="K19" s="51" t="s">
        <v>42</v>
      </c>
      <c r="L19" s="52"/>
      <c r="M19" s="53"/>
      <c r="Q19" s="32"/>
      <c r="R19" s="32"/>
      <c r="S19" s="31"/>
    </row>
    <row r="20" spans="2:19" ht="15" customHeight="1" x14ac:dyDescent="0.25">
      <c r="B20" s="20" t="s">
        <v>1</v>
      </c>
      <c r="C20" s="60">
        <v>0</v>
      </c>
      <c r="D20" s="61">
        <v>0</v>
      </c>
      <c r="F20" s="109"/>
      <c r="G20" s="107" t="s">
        <v>89</v>
      </c>
      <c r="H20" s="107" t="s">
        <v>91</v>
      </c>
      <c r="I20" s="107" t="s">
        <v>90</v>
      </c>
      <c r="K20" s="39" t="s">
        <v>12</v>
      </c>
      <c r="L20" s="36">
        <f>IF(C6="Ja",190,0)</f>
        <v>0</v>
      </c>
      <c r="M20" s="38"/>
      <c r="Q20" s="32"/>
      <c r="R20" s="32"/>
      <c r="S20" s="31"/>
    </row>
    <row r="21" spans="2:19" x14ac:dyDescent="0.25">
      <c r="B21" s="20" t="s">
        <v>4</v>
      </c>
      <c r="C21" s="60">
        <v>0</v>
      </c>
      <c r="D21" s="61">
        <v>0</v>
      </c>
      <c r="F21" s="110"/>
      <c r="G21" s="107"/>
      <c r="H21" s="107"/>
      <c r="I21" s="107"/>
      <c r="K21" s="39" t="s">
        <v>13</v>
      </c>
      <c r="L21" s="36">
        <f>IF(C6="Ja",190,0)</f>
        <v>0</v>
      </c>
      <c r="M21" s="38"/>
      <c r="Q21" s="32"/>
      <c r="R21" s="32"/>
      <c r="S21" s="31"/>
    </row>
    <row r="22" spans="2:19" x14ac:dyDescent="0.25">
      <c r="B22" s="20" t="s">
        <v>5</v>
      </c>
      <c r="C22" s="60">
        <v>0</v>
      </c>
      <c r="D22" s="61">
        <v>0</v>
      </c>
      <c r="F22" s="111"/>
      <c r="G22" s="107"/>
      <c r="H22" s="107"/>
      <c r="I22" s="107"/>
      <c r="K22" s="37"/>
      <c r="L22" s="31" t="s">
        <v>2</v>
      </c>
      <c r="M22" s="38" t="s">
        <v>3</v>
      </c>
      <c r="Q22" s="34"/>
      <c r="R22" s="34"/>
      <c r="S22" s="35"/>
    </row>
    <row r="23" spans="2:19" x14ac:dyDescent="0.25">
      <c r="B23" s="20" t="s">
        <v>6</v>
      </c>
      <c r="C23" s="60">
        <v>0</v>
      </c>
      <c r="D23" s="61">
        <v>0</v>
      </c>
      <c r="F23" s="28">
        <v>2022</v>
      </c>
      <c r="G23" s="80">
        <f>(N16-I16)-L36</f>
        <v>0</v>
      </c>
      <c r="H23" s="81">
        <f>C7</f>
        <v>0</v>
      </c>
      <c r="I23" s="82">
        <f>IF((H23&gt;0),0,-MAX(-G23,H23))</f>
        <v>0</v>
      </c>
      <c r="K23" s="44" t="s">
        <v>14</v>
      </c>
      <c r="L23" s="36">
        <f>IF(AND($C$6="Ja",(C31-1.45)*'Verrekening Prijsplafond'!J3&gt;0),(C31-1.45)*'Verrekening Prijsplafond'!J3,0)</f>
        <v>0</v>
      </c>
      <c r="M23" s="45">
        <f>IF(AND($C$6="Ja",(D31-0.4)*'Verrekening Prijsplafond'!K3&gt;0),(D31-0.4)*'Verrekening Prijsplafond'!K3,0)</f>
        <v>0</v>
      </c>
    </row>
    <row r="24" spans="2:19" ht="15.75" thickBot="1" x14ac:dyDescent="0.3">
      <c r="B24" s="20" t="s">
        <v>7</v>
      </c>
      <c r="C24" s="60">
        <v>0</v>
      </c>
      <c r="D24" s="61">
        <v>0</v>
      </c>
      <c r="F24" s="28">
        <v>2023</v>
      </c>
      <c r="G24" s="83">
        <f>(S16-I16)-L37</f>
        <v>0</v>
      </c>
      <c r="H24" s="81">
        <f>C8</f>
        <v>0</v>
      </c>
      <c r="I24" s="85">
        <f>IF((H24&gt;0),0,-MAX(-G24,H24))</f>
        <v>0</v>
      </c>
      <c r="K24" s="44" t="s">
        <v>15</v>
      </c>
      <c r="L24" s="36">
        <f>IF(AND($C$6="Ja",(C32-1.45)*'Verrekening Prijsplafond'!J4&gt;0),(C32-1.45)*'Verrekening Prijsplafond'!J4,0)</f>
        <v>0</v>
      </c>
      <c r="M24" s="45">
        <f>IF(AND($C$6="Ja",(D32-0.4)*'Verrekening Prijsplafond'!K4&gt;0),(D32-0.4)*'Verrekening Prijsplafond'!K4,0)</f>
        <v>0</v>
      </c>
    </row>
    <row r="25" spans="2:19" ht="15.75" thickBot="1" x14ac:dyDescent="0.3">
      <c r="B25" s="20" t="s">
        <v>8</v>
      </c>
      <c r="C25" s="60">
        <v>0</v>
      </c>
      <c r="D25" s="61">
        <v>0</v>
      </c>
      <c r="F25" s="28" t="s">
        <v>31</v>
      </c>
      <c r="G25" s="80">
        <f>SUM(G23:G24)</f>
        <v>0</v>
      </c>
      <c r="H25" s="84"/>
      <c r="I25" s="86">
        <f>IF((I23+I24)&lt;0,0,I23+I24)</f>
        <v>0</v>
      </c>
      <c r="K25" s="44" t="s">
        <v>16</v>
      </c>
      <c r="L25" s="36">
        <f>IF(AND($C$6="Ja",(C33-1.45)*'Verrekening Prijsplafond'!J5&gt;0),(C33-1.45)*'Verrekening Prijsplafond'!J5,0)</f>
        <v>0</v>
      </c>
      <c r="M25" s="45">
        <f>IF(AND($C$6="Ja",(D33-0.4)*'Verrekening Prijsplafond'!K5&gt;0),(D33-0.4)*'Verrekening Prijsplafond'!K5,0)</f>
        <v>0</v>
      </c>
    </row>
    <row r="26" spans="2:19" x14ac:dyDescent="0.25">
      <c r="B26" s="20" t="s">
        <v>9</v>
      </c>
      <c r="C26" s="60">
        <v>0</v>
      </c>
      <c r="D26" s="61">
        <v>0</v>
      </c>
      <c r="K26" s="39" t="s">
        <v>79</v>
      </c>
      <c r="L26" s="36">
        <f>IF(AND($C$6="Ja",(C34-1.45)*'Verrekening Prijsplafond'!J6&gt;0),(C34-1.45)*'Verrekening Prijsplafond'!J6,0)</f>
        <v>0</v>
      </c>
      <c r="M26" s="45">
        <f>IF(AND($C$6="Ja",(D34-0.4)*'Verrekening Prijsplafond'!K6&gt;0),(D34-0.4)*'Verrekening Prijsplafond'!K6,0)</f>
        <v>0</v>
      </c>
    </row>
    <row r="27" spans="2:19" x14ac:dyDescent="0.25">
      <c r="B27" s="20" t="s">
        <v>10</v>
      </c>
      <c r="C27" s="60">
        <v>0</v>
      </c>
      <c r="D27" s="61">
        <v>0</v>
      </c>
      <c r="K27" s="76" t="s">
        <v>80</v>
      </c>
      <c r="L27" s="36">
        <f>IF(AND($C$6="Ja",(C35-1.45)*'Verrekening Prijsplafond'!J7&gt;0),(C35-1.45)*'Verrekening Prijsplafond'!J7,0)</f>
        <v>0</v>
      </c>
      <c r="M27" s="45">
        <f>IF(AND($C$6="Ja",(D35-0.4)*'Verrekening Prijsplafond'!K7&gt;0),(D35-0.4)*'Verrekening Prijsplafond'!K7,0)</f>
        <v>0</v>
      </c>
    </row>
    <row r="28" spans="2:19" x14ac:dyDescent="0.25">
      <c r="B28" s="20" t="s">
        <v>11</v>
      </c>
      <c r="C28" s="60">
        <v>0</v>
      </c>
      <c r="D28" s="61">
        <v>0</v>
      </c>
      <c r="K28" s="76" t="s">
        <v>81</v>
      </c>
      <c r="L28" s="36">
        <f>IF(AND($C$6="Ja",(C36-1.45)*'Verrekening Prijsplafond'!J8&gt;0),(C36-1.45)*'Verrekening Prijsplafond'!J8,0)</f>
        <v>0</v>
      </c>
      <c r="M28" s="45">
        <f>IF(AND($C$6="Ja",(D36-0.4)*'Verrekening Prijsplafond'!K8&gt;0),(D36-0.4)*'Verrekening Prijsplafond'!K8,0)</f>
        <v>0</v>
      </c>
    </row>
    <row r="29" spans="2:19" x14ac:dyDescent="0.25">
      <c r="B29" s="20" t="s">
        <v>12</v>
      </c>
      <c r="C29" s="60">
        <v>0</v>
      </c>
      <c r="D29" s="61">
        <v>0</v>
      </c>
      <c r="K29" s="77" t="s">
        <v>82</v>
      </c>
      <c r="L29" s="36">
        <f>IF(AND($C$6="Ja",(C37-1.45)*'Verrekening Prijsplafond'!J9&gt;0),(C37-1.45)*'Verrekening Prijsplafond'!J9,0)</f>
        <v>0</v>
      </c>
      <c r="M29" s="45">
        <f>IF(AND($C$6="Ja",(D37-0.4)*'Verrekening Prijsplafond'!K9&gt;0),(D37-0.4)*'Verrekening Prijsplafond'!K9,0)</f>
        <v>0</v>
      </c>
    </row>
    <row r="30" spans="2:19" ht="15.75" thickBot="1" x14ac:dyDescent="0.3">
      <c r="B30" s="21" t="s">
        <v>13</v>
      </c>
      <c r="C30" s="62">
        <v>0</v>
      </c>
      <c r="D30" s="63">
        <v>0</v>
      </c>
      <c r="K30" s="76" t="s">
        <v>83</v>
      </c>
      <c r="L30" s="36">
        <f>IF(AND($C$6="Ja",(C38-1.45)*'Verrekening Prijsplafond'!J10&gt;0),(C38-1.45)*'Verrekening Prijsplafond'!J10,0)</f>
        <v>0</v>
      </c>
      <c r="M30" s="45">
        <f>IF(AND($C$6="Ja",(D38-0.4)*'Verrekening Prijsplafond'!K10&gt;0),(D38-0.4)*'Verrekening Prijsplafond'!K10,0)</f>
        <v>0</v>
      </c>
    </row>
    <row r="31" spans="2:19" x14ac:dyDescent="0.25">
      <c r="B31" s="69" t="s">
        <v>14</v>
      </c>
      <c r="C31" s="64">
        <v>0</v>
      </c>
      <c r="D31" s="65">
        <v>0</v>
      </c>
      <c r="K31" s="76" t="s">
        <v>84</v>
      </c>
      <c r="L31" s="36">
        <f>IF(AND($C$6="Ja",(C39-1.45)*'Verrekening Prijsplafond'!J11&gt;0),(C39-1.45)*'Verrekening Prijsplafond'!J11,0)</f>
        <v>0</v>
      </c>
      <c r="M31" s="45">
        <f>IF(AND($C$6="Ja",(D39-0.4)*'Verrekening Prijsplafond'!K11&gt;0),(D39-0.4)*'Verrekening Prijsplafond'!K11,0)</f>
        <v>0</v>
      </c>
    </row>
    <row r="32" spans="2:19" x14ac:dyDescent="0.25">
      <c r="B32" s="70" t="s">
        <v>15</v>
      </c>
      <c r="C32" s="60">
        <v>0</v>
      </c>
      <c r="D32" s="61">
        <v>0</v>
      </c>
      <c r="K32" s="76" t="s">
        <v>85</v>
      </c>
      <c r="L32" s="36">
        <f>IF(AND($C$6="Ja",(C40-1.45)*'Verrekening Prijsplafond'!J12&gt;0),(C40-1.45)*'Verrekening Prijsplafond'!J12,0)</f>
        <v>0</v>
      </c>
      <c r="M32" s="45">
        <f>IF(AND($C$6="Ja",(D40-0.4)*'Verrekening Prijsplafond'!K12&gt;0),(D40-0.4)*'Verrekening Prijsplafond'!K12,0)</f>
        <v>0</v>
      </c>
    </row>
    <row r="33" spans="2:13" x14ac:dyDescent="0.25">
      <c r="B33" s="70" t="s">
        <v>16</v>
      </c>
      <c r="C33" s="60">
        <v>0</v>
      </c>
      <c r="D33" s="61">
        <v>0</v>
      </c>
      <c r="K33" s="76" t="s">
        <v>86</v>
      </c>
      <c r="L33" s="36">
        <f>IF(AND($C$6="Ja",(C41-1.45)*'Verrekening Prijsplafond'!J13&gt;0),(C41-1.45)*'Verrekening Prijsplafond'!J13,0)</f>
        <v>0</v>
      </c>
      <c r="M33" s="45">
        <f>IF(AND($C$6="Ja",(D41-0.4)*'Verrekening Prijsplafond'!K13&gt;0),(D41-0.4)*'Verrekening Prijsplafond'!K13,0)</f>
        <v>0</v>
      </c>
    </row>
    <row r="34" spans="2:13" x14ac:dyDescent="0.25">
      <c r="B34" s="70" t="s">
        <v>79</v>
      </c>
      <c r="C34" s="60">
        <v>0</v>
      </c>
      <c r="D34" s="61">
        <v>0</v>
      </c>
      <c r="K34" s="76" t="s">
        <v>78</v>
      </c>
      <c r="L34" s="36">
        <f>IF(AND($C$6="Ja",(C42-1.45)*'Verrekening Prijsplafond'!J14&gt;0),(C42-1.45)*'Verrekening Prijsplafond'!J14,0)</f>
        <v>0</v>
      </c>
      <c r="M34" s="45">
        <f>IF(AND($C$6="Ja",(D42-0.4)*'Verrekening Prijsplafond'!K14&gt;0),(D42-0.4)*'Verrekening Prijsplafond'!K14,0)</f>
        <v>0</v>
      </c>
    </row>
    <row r="35" spans="2:13" ht="15.75" thickBot="1" x14ac:dyDescent="0.3">
      <c r="B35" s="70" t="s">
        <v>80</v>
      </c>
      <c r="C35" s="60">
        <v>0</v>
      </c>
      <c r="D35" s="61">
        <v>0</v>
      </c>
      <c r="K35" s="75"/>
    </row>
    <row r="36" spans="2:13" ht="15.75" thickBot="1" x14ac:dyDescent="0.3">
      <c r="B36" s="70" t="s">
        <v>81</v>
      </c>
      <c r="C36" s="60">
        <v>0</v>
      </c>
      <c r="D36" s="61">
        <v>0</v>
      </c>
      <c r="K36" s="41" t="s">
        <v>69</v>
      </c>
      <c r="L36" s="48">
        <f>L20+L21</f>
        <v>0</v>
      </c>
      <c r="M36" s="38"/>
    </row>
    <row r="37" spans="2:13" ht="15.75" thickBot="1" x14ac:dyDescent="0.3">
      <c r="B37" s="70" t="s">
        <v>82</v>
      </c>
      <c r="C37" s="60">
        <v>0</v>
      </c>
      <c r="D37" s="61">
        <v>0</v>
      </c>
      <c r="K37" s="46" t="s">
        <v>70</v>
      </c>
      <c r="L37" s="48">
        <f>SUM(L23:M34)</f>
        <v>0</v>
      </c>
      <c r="M37" s="47"/>
    </row>
    <row r="38" spans="2:13" x14ac:dyDescent="0.25">
      <c r="B38" s="70" t="s">
        <v>83</v>
      </c>
      <c r="C38" s="60">
        <v>0</v>
      </c>
      <c r="D38" s="61">
        <v>0</v>
      </c>
    </row>
    <row r="39" spans="2:13" x14ac:dyDescent="0.25">
      <c r="B39" s="70" t="s">
        <v>84</v>
      </c>
      <c r="C39" s="60">
        <v>0</v>
      </c>
      <c r="D39" s="61">
        <v>0</v>
      </c>
    </row>
    <row r="40" spans="2:13" x14ac:dyDescent="0.25">
      <c r="B40" s="70" t="s">
        <v>85</v>
      </c>
      <c r="C40" s="60">
        <v>0</v>
      </c>
      <c r="D40" s="61">
        <v>0</v>
      </c>
    </row>
    <row r="41" spans="2:13" x14ac:dyDescent="0.25">
      <c r="B41" s="70" t="s">
        <v>86</v>
      </c>
      <c r="C41" s="60">
        <v>0</v>
      </c>
      <c r="D41" s="61">
        <v>0</v>
      </c>
    </row>
    <row r="42" spans="2:13" ht="15.75" thickBot="1" x14ac:dyDescent="0.3">
      <c r="B42" s="71" t="s">
        <v>78</v>
      </c>
      <c r="C42" s="62">
        <v>0</v>
      </c>
      <c r="D42" s="63">
        <v>0</v>
      </c>
    </row>
  </sheetData>
  <sheetProtection algorithmName="SHA-512" hashValue="HsT8OcofFxf2O8WtiDGVaS1g+bNb/8OlOzPcairtVdp4FIuUz0eWPshYWhjyaaKXc+Vebk7rRDfeOBfuEnnztw==" saltValue="Cj1FRdbcu6m4IPgk23I8zA==" spinCount="100000" sheet="1" objects="1" scenarios="1"/>
  <protectedRanges>
    <protectedRange algorithmName="SHA-512" hashValue="M2Rw13kV+/D09skRf4e+uhsqA97pcGm5dHV+LqPodMi+FOBqx26i/vIJVlHzA2LDAPwGWGoA8hdLMqg7FPsCOQ==" saltValue="kG7QXQXIrjEFByJkmFqe3Q==" spinCount="100000" sqref="C3:C4 C11:D12 C15:D15 C19:D42 C6:C8" name="In te vullen"/>
  </protectedRanges>
  <mergeCells count="17">
    <mergeCell ref="G20:G22"/>
    <mergeCell ref="H20:H22"/>
    <mergeCell ref="I20:I22"/>
    <mergeCell ref="F19:I19"/>
    <mergeCell ref="F20:F22"/>
    <mergeCell ref="C17:C18"/>
    <mergeCell ref="D17:D18"/>
    <mergeCell ref="P2:R2"/>
    <mergeCell ref="C7:D7"/>
    <mergeCell ref="C8:D8"/>
    <mergeCell ref="K2:M2"/>
    <mergeCell ref="C3:D3"/>
    <mergeCell ref="C4:D4"/>
    <mergeCell ref="B2:D2"/>
    <mergeCell ref="C6:D6"/>
    <mergeCell ref="F2:H2"/>
    <mergeCell ref="B17:B18"/>
  </mergeCells>
  <pageMargins left="0.7" right="0.7" top="0.75" bottom="0.75" header="0.3" footer="0.3"/>
  <pageSetup paperSize="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Vervolgkeuzelijsten!$A$4:$A$11</xm:f>
          </x14:formula1>
          <xm:sqref>C4:D4</xm:sqref>
        </x14:dataValidation>
        <x14:dataValidation type="list" allowBlank="1" showInputMessage="1" showErrorMessage="1">
          <x14:formula1>
            <xm:f>Vervolgkeuzelijsten!$C$4:$C$5</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workbookViewId="0">
      <selection activeCell="B19" sqref="B19"/>
    </sheetView>
  </sheetViews>
  <sheetFormatPr defaultRowHeight="15" x14ac:dyDescent="0.25"/>
  <cols>
    <col min="1" max="1" width="18.5703125" bestFit="1" customWidth="1"/>
    <col min="2" max="2" width="8.7109375" bestFit="1" customWidth="1"/>
    <col min="3" max="3" width="17.42578125" bestFit="1" customWidth="1"/>
  </cols>
  <sheetData>
    <row r="1" spans="1:3" x14ac:dyDescent="0.25">
      <c r="A1" s="4" t="s">
        <v>55</v>
      </c>
    </row>
    <row r="2" spans="1:3" x14ac:dyDescent="0.25">
      <c r="B2" t="s">
        <v>2</v>
      </c>
      <c r="C2" t="s">
        <v>3</v>
      </c>
    </row>
    <row r="3" spans="1:3" x14ac:dyDescent="0.25">
      <c r="A3" t="s">
        <v>19</v>
      </c>
      <c r="B3" s="3">
        <v>0.18429257225264389</v>
      </c>
      <c r="C3" s="3">
        <v>0.11706873999999998</v>
      </c>
    </row>
    <row r="4" spans="1:3" x14ac:dyDescent="0.25">
      <c r="A4" t="s">
        <v>20</v>
      </c>
      <c r="B4" s="3">
        <v>0.15667841844016844</v>
      </c>
      <c r="C4" s="3">
        <v>9.6555859999999993E-2</v>
      </c>
    </row>
    <row r="5" spans="1:3" x14ac:dyDescent="0.25">
      <c r="A5" t="s">
        <v>21</v>
      </c>
      <c r="B5" s="3">
        <v>0.13217595142815972</v>
      </c>
      <c r="C5" s="3">
        <v>9.2193689999999953E-2</v>
      </c>
    </row>
    <row r="6" spans="1:3" x14ac:dyDescent="0.25">
      <c r="A6" t="s">
        <v>22</v>
      </c>
      <c r="B6" s="3">
        <v>7.1438908869049175E-2</v>
      </c>
      <c r="C6" s="3">
        <v>7.1448150000000002E-2</v>
      </c>
    </row>
    <row r="7" spans="1:3" x14ac:dyDescent="0.25">
      <c r="A7" t="s">
        <v>23</v>
      </c>
      <c r="B7" s="3">
        <v>2.9076480829361474E-2</v>
      </c>
      <c r="C7" s="3">
        <v>6.2461359999999994E-2</v>
      </c>
    </row>
    <row r="8" spans="1:3" x14ac:dyDescent="0.25">
      <c r="A8" t="s">
        <v>24</v>
      </c>
      <c r="B8" s="3">
        <v>1.5615555202342332E-2</v>
      </c>
      <c r="C8" s="3">
        <v>5.4930969999999989E-2</v>
      </c>
    </row>
    <row r="9" spans="1:3" x14ac:dyDescent="0.25">
      <c r="A9" t="s">
        <v>25</v>
      </c>
      <c r="B9" s="3">
        <v>1.4304774243812381E-2</v>
      </c>
      <c r="C9" s="3">
        <v>5.5507519999999998E-2</v>
      </c>
    </row>
    <row r="10" spans="1:3" x14ac:dyDescent="0.25">
      <c r="A10" t="s">
        <v>26</v>
      </c>
      <c r="B10" s="3">
        <v>1.4418980352162844E-2</v>
      </c>
      <c r="C10" s="3">
        <v>6.0800909999999986E-2</v>
      </c>
    </row>
    <row r="11" spans="1:3" x14ac:dyDescent="0.25">
      <c r="A11" t="s">
        <v>27</v>
      </c>
      <c r="B11" s="3">
        <v>2.0215235403032279E-2</v>
      </c>
      <c r="C11" s="3">
        <v>6.8700579999999997E-2</v>
      </c>
    </row>
    <row r="12" spans="1:3" x14ac:dyDescent="0.25">
      <c r="A12" t="s">
        <v>28</v>
      </c>
      <c r="B12" s="3">
        <v>6.7387718393441473E-2</v>
      </c>
      <c r="C12" s="3">
        <v>9.1867539999999998E-2</v>
      </c>
    </row>
    <row r="13" spans="1:3" x14ac:dyDescent="0.25">
      <c r="A13" t="s">
        <v>29</v>
      </c>
      <c r="B13" s="3">
        <v>0.12226169539333925</v>
      </c>
      <c r="C13" s="3">
        <v>0.10559225000000001</v>
      </c>
    </row>
    <row r="14" spans="1:3" x14ac:dyDescent="0.25">
      <c r="A14" t="s">
        <v>30</v>
      </c>
      <c r="B14" s="3">
        <v>0.17213370919248672</v>
      </c>
      <c r="C14" s="3">
        <v>0.12287242999999995</v>
      </c>
    </row>
    <row r="15" spans="1:3" x14ac:dyDescent="0.25">
      <c r="A15" t="s">
        <v>31</v>
      </c>
      <c r="B15" s="2">
        <f>SUM(B3:B14)</f>
        <v>0.99999999999999989</v>
      </c>
      <c r="C15" s="2">
        <f>SUM(C3:C14)</f>
        <v>0.99999999999999978</v>
      </c>
    </row>
    <row r="17" spans="1:3" x14ac:dyDescent="0.25">
      <c r="A17" s="4" t="s">
        <v>32</v>
      </c>
      <c r="B17" t="s">
        <v>33</v>
      </c>
      <c r="C17" t="s">
        <v>34</v>
      </c>
    </row>
    <row r="18" spans="1:3" x14ac:dyDescent="0.25">
      <c r="A18" s="6" t="s">
        <v>31</v>
      </c>
      <c r="B18" s="6">
        <f>SMALL(('Tegemoetkoming Energiekosten'!C11,'Tegemoetkoming Energiekosten'!C15),1)</f>
        <v>1</v>
      </c>
      <c r="C18" s="6">
        <f>SMALL(('Tegemoetkoming Energiekosten'!D11,'Tegemoetkoming Energiekosten'!D15),1)</f>
        <v>1</v>
      </c>
    </row>
    <row r="19" spans="1:3" x14ac:dyDescent="0.25">
      <c r="A19" t="s">
        <v>19</v>
      </c>
      <c r="B19" s="5">
        <f>B3*$B$18</f>
        <v>0.18429257225264389</v>
      </c>
      <c r="C19" s="5">
        <f>C3*$C$18</f>
        <v>0.11706873999999998</v>
      </c>
    </row>
    <row r="20" spans="1:3" x14ac:dyDescent="0.25">
      <c r="A20" t="s">
        <v>20</v>
      </c>
      <c r="B20" s="5">
        <f t="shared" ref="B20:B30" si="0">B4*$B$18</f>
        <v>0.15667841844016844</v>
      </c>
      <c r="C20" s="5">
        <f t="shared" ref="C20:C30" si="1">C4*$C$18</f>
        <v>9.6555859999999993E-2</v>
      </c>
    </row>
    <row r="21" spans="1:3" x14ac:dyDescent="0.25">
      <c r="A21" t="s">
        <v>21</v>
      </c>
      <c r="B21" s="5">
        <f t="shared" si="0"/>
        <v>0.13217595142815972</v>
      </c>
      <c r="C21" s="5">
        <f t="shared" si="1"/>
        <v>9.2193689999999953E-2</v>
      </c>
    </row>
    <row r="22" spans="1:3" x14ac:dyDescent="0.25">
      <c r="A22" t="s">
        <v>22</v>
      </c>
      <c r="B22" s="5">
        <f t="shared" si="0"/>
        <v>7.1438908869049175E-2</v>
      </c>
      <c r="C22" s="5">
        <f t="shared" si="1"/>
        <v>7.1448150000000002E-2</v>
      </c>
    </row>
    <row r="23" spans="1:3" x14ac:dyDescent="0.25">
      <c r="A23" t="s">
        <v>23</v>
      </c>
      <c r="B23" s="5">
        <f t="shared" si="0"/>
        <v>2.9076480829361474E-2</v>
      </c>
      <c r="C23" s="5">
        <f t="shared" si="1"/>
        <v>6.2461359999999994E-2</v>
      </c>
    </row>
    <row r="24" spans="1:3" x14ac:dyDescent="0.25">
      <c r="A24" t="s">
        <v>24</v>
      </c>
      <c r="B24" s="5">
        <f t="shared" si="0"/>
        <v>1.5615555202342332E-2</v>
      </c>
      <c r="C24" s="5">
        <f t="shared" si="1"/>
        <v>5.4930969999999989E-2</v>
      </c>
    </row>
    <row r="25" spans="1:3" x14ac:dyDescent="0.25">
      <c r="A25" t="s">
        <v>25</v>
      </c>
      <c r="B25" s="5">
        <f t="shared" si="0"/>
        <v>1.4304774243812381E-2</v>
      </c>
      <c r="C25" s="5">
        <f t="shared" si="1"/>
        <v>5.5507519999999998E-2</v>
      </c>
    </row>
    <row r="26" spans="1:3" x14ac:dyDescent="0.25">
      <c r="A26" t="s">
        <v>26</v>
      </c>
      <c r="B26" s="5">
        <f t="shared" si="0"/>
        <v>1.4418980352162844E-2</v>
      </c>
      <c r="C26" s="5">
        <f t="shared" si="1"/>
        <v>6.0800909999999986E-2</v>
      </c>
    </row>
    <row r="27" spans="1:3" x14ac:dyDescent="0.25">
      <c r="A27" t="s">
        <v>27</v>
      </c>
      <c r="B27" s="5">
        <f t="shared" si="0"/>
        <v>2.0215235403032279E-2</v>
      </c>
      <c r="C27" s="5">
        <f t="shared" si="1"/>
        <v>6.8700579999999997E-2</v>
      </c>
    </row>
    <row r="28" spans="1:3" x14ac:dyDescent="0.25">
      <c r="A28" t="s">
        <v>28</v>
      </c>
      <c r="B28" s="5">
        <f t="shared" si="0"/>
        <v>6.7387718393441473E-2</v>
      </c>
      <c r="C28" s="5">
        <f t="shared" si="1"/>
        <v>9.1867539999999998E-2</v>
      </c>
    </row>
    <row r="29" spans="1:3" x14ac:dyDescent="0.25">
      <c r="A29" t="s">
        <v>29</v>
      </c>
      <c r="B29" s="5">
        <f t="shared" si="0"/>
        <v>0.12226169539333925</v>
      </c>
      <c r="C29" s="5">
        <f t="shared" si="1"/>
        <v>0.10559225000000001</v>
      </c>
    </row>
    <row r="30" spans="1:3" x14ac:dyDescent="0.25">
      <c r="A30" t="s">
        <v>30</v>
      </c>
      <c r="B30" s="5">
        <f t="shared" si="0"/>
        <v>0.17213370919248672</v>
      </c>
      <c r="C30" s="5">
        <f t="shared" si="1"/>
        <v>0.12287242999999995</v>
      </c>
    </row>
  </sheetData>
  <sheetProtection algorithmName="SHA-512" hashValue="coDzSWny/7SmOLDBwpYaNUWbKbpZmlpriH2QACGUjq2A0lJ9IHyvTs3tmmxEsHlxGiimi23hpZh1AzyaKCdWKQ==" saltValue="ck+OMWPzhNHVd7GspnSI+A==" spinCount="100000" sheet="1" objects="1" scenarios="1"/>
  <pageMargins left="0.7" right="0.7" top="0.75" bottom="0.75" header="0.3" footer="0.3"/>
  <pageSetup paperSize="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H21" sqref="H21"/>
    </sheetView>
  </sheetViews>
  <sheetFormatPr defaultRowHeight="15" x14ac:dyDescent="0.25"/>
  <cols>
    <col min="2" max="3" width="10.5703125" bestFit="1" customWidth="1"/>
  </cols>
  <sheetData>
    <row r="1" spans="1:15" x14ac:dyDescent="0.25">
      <c r="A1" s="6" t="s">
        <v>39</v>
      </c>
      <c r="E1" s="6" t="s">
        <v>38</v>
      </c>
      <c r="F1" s="5"/>
      <c r="G1" s="5"/>
      <c r="I1" s="29" t="s">
        <v>37</v>
      </c>
      <c r="J1" s="4"/>
      <c r="K1" s="4"/>
      <c r="M1" s="6" t="s">
        <v>40</v>
      </c>
      <c r="N1" s="6"/>
      <c r="O1" s="6"/>
    </row>
    <row r="2" spans="1:15" x14ac:dyDescent="0.25">
      <c r="B2" t="s">
        <v>33</v>
      </c>
      <c r="C2" t="s">
        <v>34</v>
      </c>
      <c r="F2" t="s">
        <v>33</v>
      </c>
      <c r="G2" t="s">
        <v>34</v>
      </c>
      <c r="I2" s="29"/>
      <c r="J2" s="4" t="s">
        <v>33</v>
      </c>
      <c r="K2" s="4" t="s">
        <v>34</v>
      </c>
      <c r="M2" s="6"/>
      <c r="N2" s="6" t="s">
        <v>33</v>
      </c>
      <c r="O2" s="6" t="s">
        <v>34</v>
      </c>
    </row>
    <row r="3" spans="1:15" x14ac:dyDescent="0.25">
      <c r="A3" t="s">
        <v>19</v>
      </c>
      <c r="B3" s="5">
        <f>1200*'Berekend verbruik'!B3</f>
        <v>221.15108670317267</v>
      </c>
      <c r="C3" s="5">
        <f>2900*'Berekend verbruik'!C3</f>
        <v>339.49934599999995</v>
      </c>
      <c r="E3" t="s">
        <v>19</v>
      </c>
      <c r="F3" s="5">
        <f>'Berekend verbruik'!B19</f>
        <v>0.18429257225264389</v>
      </c>
      <c r="G3" s="5">
        <f>'Berekend verbruik'!C19</f>
        <v>0.11706873999999998</v>
      </c>
      <c r="I3" s="4" t="s">
        <v>19</v>
      </c>
      <c r="J3" s="9">
        <f>SMALL((B3,F3),1)</f>
        <v>0.18429257225264389</v>
      </c>
      <c r="K3" s="9">
        <f>SMALL((C3,G3),1)</f>
        <v>0.11706873999999998</v>
      </c>
      <c r="M3" s="6" t="s">
        <v>19</v>
      </c>
      <c r="N3" s="8">
        <f t="shared" ref="N3:O5" si="0">IF(F3&gt;B3,F3-J3,0)</f>
        <v>0</v>
      </c>
      <c r="O3" s="8">
        <f t="shared" si="0"/>
        <v>0</v>
      </c>
    </row>
    <row r="4" spans="1:15" x14ac:dyDescent="0.25">
      <c r="A4" t="s">
        <v>20</v>
      </c>
      <c r="B4" s="5">
        <f>1200*'Berekend verbruik'!B4</f>
        <v>188.01410212820213</v>
      </c>
      <c r="C4" s="5">
        <f>2900*'Berekend verbruik'!C4</f>
        <v>280.01199399999996</v>
      </c>
      <c r="E4" t="s">
        <v>20</v>
      </c>
      <c r="F4" s="5">
        <f>'Berekend verbruik'!B20</f>
        <v>0.15667841844016844</v>
      </c>
      <c r="G4" s="5">
        <f>'Berekend verbruik'!C20</f>
        <v>9.6555859999999993E-2</v>
      </c>
      <c r="I4" s="4" t="s">
        <v>20</v>
      </c>
      <c r="J4" s="9">
        <f>SMALL((B4,F4),1)</f>
        <v>0.15667841844016844</v>
      </c>
      <c r="K4" s="9">
        <f>SMALL((C4,G4),1)</f>
        <v>9.6555859999999993E-2</v>
      </c>
      <c r="M4" s="6" t="s">
        <v>20</v>
      </c>
      <c r="N4" s="8">
        <f t="shared" si="0"/>
        <v>0</v>
      </c>
      <c r="O4" s="8">
        <f t="shared" si="0"/>
        <v>0</v>
      </c>
    </row>
    <row r="5" spans="1:15" x14ac:dyDescent="0.25">
      <c r="A5" t="s">
        <v>21</v>
      </c>
      <c r="B5" s="5">
        <f>1200*'Berekend verbruik'!B5</f>
        <v>158.61114171379165</v>
      </c>
      <c r="C5" s="5">
        <f>2900*'Berekend verbruik'!C5</f>
        <v>267.36170099999987</v>
      </c>
      <c r="E5" t="s">
        <v>21</v>
      </c>
      <c r="F5" s="5">
        <f>'Berekend verbruik'!B21</f>
        <v>0.13217595142815972</v>
      </c>
      <c r="G5" s="5">
        <f>'Berekend verbruik'!C21</f>
        <v>9.2193689999999953E-2</v>
      </c>
      <c r="I5" s="4" t="s">
        <v>21</v>
      </c>
      <c r="J5" s="9">
        <f>SMALL((B5,F5),1)</f>
        <v>0.13217595142815972</v>
      </c>
      <c r="K5" s="9">
        <f>SMALL((C5,G5),1)</f>
        <v>9.2193689999999953E-2</v>
      </c>
      <c r="M5" s="6" t="s">
        <v>21</v>
      </c>
      <c r="N5" s="8">
        <f t="shared" si="0"/>
        <v>0</v>
      </c>
      <c r="O5" s="8">
        <f t="shared" si="0"/>
        <v>0</v>
      </c>
    </row>
    <row r="6" spans="1:15" x14ac:dyDescent="0.25">
      <c r="A6" t="s">
        <v>22</v>
      </c>
      <c r="B6" s="5">
        <f>1200*'Berekend verbruik'!B6</f>
        <v>85.726690642859012</v>
      </c>
      <c r="C6" s="5">
        <f>2900*'Berekend verbruik'!C6</f>
        <v>207.199635</v>
      </c>
      <c r="E6" t="s">
        <v>22</v>
      </c>
      <c r="F6" s="5">
        <f>'Berekend verbruik'!B22</f>
        <v>7.1438908869049175E-2</v>
      </c>
      <c r="G6" s="5">
        <f>'Berekend verbruik'!C22</f>
        <v>7.1448150000000002E-2</v>
      </c>
      <c r="I6" s="4" t="s">
        <v>22</v>
      </c>
      <c r="J6" s="9">
        <f>SMALL((B6,F6),1)</f>
        <v>7.1438908869049175E-2</v>
      </c>
      <c r="K6" s="9">
        <f>SMALL((C6,G6),1)</f>
        <v>7.1448150000000002E-2</v>
      </c>
      <c r="M6" s="6" t="s">
        <v>22</v>
      </c>
      <c r="N6" s="8">
        <f t="shared" ref="N6:N14" si="1">IF(F6&gt;B6,F6-J6,0)</f>
        <v>0</v>
      </c>
      <c r="O6" s="8">
        <f t="shared" ref="O6:O14" si="2">IF(G6&gt;C6,G6-K6,0)</f>
        <v>0</v>
      </c>
    </row>
    <row r="7" spans="1:15" x14ac:dyDescent="0.25">
      <c r="A7" t="s">
        <v>23</v>
      </c>
      <c r="B7" s="5">
        <f>1200*'Berekend verbruik'!B7</f>
        <v>34.891776995233769</v>
      </c>
      <c r="C7" s="5">
        <f>2900*'Berekend verbruik'!C7</f>
        <v>181.13794399999998</v>
      </c>
      <c r="E7" t="s">
        <v>23</v>
      </c>
      <c r="F7" s="5">
        <f>'Berekend verbruik'!B23</f>
        <v>2.9076480829361474E-2</v>
      </c>
      <c r="G7" s="5">
        <f>'Berekend verbruik'!C23</f>
        <v>6.2461359999999994E-2</v>
      </c>
      <c r="I7" s="4" t="s">
        <v>23</v>
      </c>
      <c r="J7" s="9">
        <f>SMALL((B7,F7),1)</f>
        <v>2.9076480829361474E-2</v>
      </c>
      <c r="K7" s="9">
        <f>SMALL((C7,G7),1)</f>
        <v>6.2461359999999994E-2</v>
      </c>
      <c r="M7" s="6" t="s">
        <v>23</v>
      </c>
      <c r="N7" s="8">
        <f t="shared" si="1"/>
        <v>0</v>
      </c>
      <c r="O7" s="8">
        <f t="shared" si="2"/>
        <v>0</v>
      </c>
    </row>
    <row r="8" spans="1:15" x14ac:dyDescent="0.25">
      <c r="A8" t="s">
        <v>24</v>
      </c>
      <c r="B8" s="5">
        <f>1200*'Berekend verbruik'!B8</f>
        <v>18.738666242810798</v>
      </c>
      <c r="C8" s="5">
        <f>2900*'Berekend verbruik'!C8</f>
        <v>159.29981299999997</v>
      </c>
      <c r="E8" t="s">
        <v>24</v>
      </c>
      <c r="F8" s="5">
        <f>'Berekend verbruik'!B24</f>
        <v>1.5615555202342332E-2</v>
      </c>
      <c r="G8" s="5">
        <f>'Berekend verbruik'!C24</f>
        <v>5.4930969999999989E-2</v>
      </c>
      <c r="I8" s="4" t="s">
        <v>24</v>
      </c>
      <c r="J8" s="9">
        <f>SMALL((B8,F8),1)</f>
        <v>1.5615555202342332E-2</v>
      </c>
      <c r="K8" s="9">
        <f>SMALL((C8,G8),1)</f>
        <v>5.4930969999999989E-2</v>
      </c>
      <c r="M8" s="6" t="s">
        <v>24</v>
      </c>
      <c r="N8" s="8">
        <f t="shared" si="1"/>
        <v>0</v>
      </c>
      <c r="O8" s="8">
        <f t="shared" si="2"/>
        <v>0</v>
      </c>
    </row>
    <row r="9" spans="1:15" x14ac:dyDescent="0.25">
      <c r="A9" t="s">
        <v>25</v>
      </c>
      <c r="B9" s="5">
        <f>1200*'Berekend verbruik'!B9</f>
        <v>17.165729092574857</v>
      </c>
      <c r="C9" s="5">
        <f>2900*'Berekend verbruik'!C9</f>
        <v>160.97180799999998</v>
      </c>
      <c r="E9" t="s">
        <v>25</v>
      </c>
      <c r="F9" s="5">
        <f>'Berekend verbruik'!B25</f>
        <v>1.4304774243812381E-2</v>
      </c>
      <c r="G9" s="5">
        <f>'Berekend verbruik'!C25</f>
        <v>5.5507519999999998E-2</v>
      </c>
      <c r="I9" s="4" t="s">
        <v>25</v>
      </c>
      <c r="J9" s="9">
        <f>SMALL((B9,F9),1)</f>
        <v>1.4304774243812381E-2</v>
      </c>
      <c r="K9" s="9">
        <f>SMALL((C9,G9),1)</f>
        <v>5.5507519999999998E-2</v>
      </c>
      <c r="M9" s="6" t="s">
        <v>25</v>
      </c>
      <c r="N9" s="8">
        <f t="shared" si="1"/>
        <v>0</v>
      </c>
      <c r="O9" s="8">
        <f t="shared" si="2"/>
        <v>0</v>
      </c>
    </row>
    <row r="10" spans="1:15" x14ac:dyDescent="0.25">
      <c r="A10" t="s">
        <v>26</v>
      </c>
      <c r="B10" s="5">
        <f>1200*'Berekend verbruik'!B10</f>
        <v>17.302776422595411</v>
      </c>
      <c r="C10" s="5">
        <f>2900*'Berekend verbruik'!C10</f>
        <v>176.32263899999995</v>
      </c>
      <c r="E10" t="s">
        <v>26</v>
      </c>
      <c r="F10" s="5">
        <f>'Berekend verbruik'!B26</f>
        <v>1.4418980352162844E-2</v>
      </c>
      <c r="G10" s="5">
        <f>'Berekend verbruik'!C26</f>
        <v>6.0800909999999986E-2</v>
      </c>
      <c r="I10" s="4" t="s">
        <v>26</v>
      </c>
      <c r="J10" s="9">
        <f>SMALL((B10,F10),1)</f>
        <v>1.4418980352162844E-2</v>
      </c>
      <c r="K10" s="9">
        <f>SMALL((C10,G10),1)</f>
        <v>6.0800909999999986E-2</v>
      </c>
      <c r="M10" s="6" t="s">
        <v>26</v>
      </c>
      <c r="N10" s="8">
        <f t="shared" si="1"/>
        <v>0</v>
      </c>
      <c r="O10" s="8">
        <f t="shared" si="2"/>
        <v>0</v>
      </c>
    </row>
    <row r="11" spans="1:15" x14ac:dyDescent="0.25">
      <c r="A11" t="s">
        <v>27</v>
      </c>
      <c r="B11" s="5">
        <f>1200*'Berekend verbruik'!B11</f>
        <v>24.258282483638734</v>
      </c>
      <c r="C11" s="5">
        <f>2900*'Berekend verbruik'!C11</f>
        <v>199.23168199999998</v>
      </c>
      <c r="E11" t="s">
        <v>27</v>
      </c>
      <c r="F11" s="5">
        <f>'Berekend verbruik'!B27</f>
        <v>2.0215235403032279E-2</v>
      </c>
      <c r="G11" s="5">
        <f>'Berekend verbruik'!C27</f>
        <v>6.8700579999999997E-2</v>
      </c>
      <c r="I11" s="4" t="s">
        <v>27</v>
      </c>
      <c r="J11" s="9">
        <f>SMALL((B11,F11),1)</f>
        <v>2.0215235403032279E-2</v>
      </c>
      <c r="K11" s="9">
        <f>SMALL((C11,G11),1)</f>
        <v>6.8700579999999997E-2</v>
      </c>
      <c r="M11" s="6" t="s">
        <v>27</v>
      </c>
      <c r="N11" s="8">
        <f t="shared" si="1"/>
        <v>0</v>
      </c>
      <c r="O11" s="8">
        <f t="shared" si="2"/>
        <v>0</v>
      </c>
    </row>
    <row r="12" spans="1:15" x14ac:dyDescent="0.25">
      <c r="A12" t="s">
        <v>28</v>
      </c>
      <c r="B12" s="5">
        <f>1200*'Berekend verbruik'!B12</f>
        <v>80.865262072129767</v>
      </c>
      <c r="C12" s="5">
        <f>2900*'Berekend verbruik'!C12</f>
        <v>266.41586599999999</v>
      </c>
      <c r="E12" t="s">
        <v>28</v>
      </c>
      <c r="F12" s="5">
        <f>'Berekend verbruik'!B28</f>
        <v>6.7387718393441473E-2</v>
      </c>
      <c r="G12" s="5">
        <f>'Berekend verbruik'!C28</f>
        <v>9.1867539999999998E-2</v>
      </c>
      <c r="I12" s="4" t="s">
        <v>28</v>
      </c>
      <c r="J12" s="9">
        <f>SMALL((B12,F12),1)</f>
        <v>6.7387718393441473E-2</v>
      </c>
      <c r="K12" s="9">
        <f>SMALL((C12,G12),1)</f>
        <v>9.1867539999999998E-2</v>
      </c>
      <c r="M12" s="6" t="s">
        <v>28</v>
      </c>
      <c r="N12" s="8">
        <f t="shared" si="1"/>
        <v>0</v>
      </c>
      <c r="O12" s="8">
        <f t="shared" si="2"/>
        <v>0</v>
      </c>
    </row>
    <row r="13" spans="1:15" x14ac:dyDescent="0.25">
      <c r="A13" t="s">
        <v>29</v>
      </c>
      <c r="B13" s="5">
        <f>1200*'Berekend verbruik'!B13</f>
        <v>146.71403447200711</v>
      </c>
      <c r="C13" s="5">
        <f>2900*'Berekend verbruik'!C13</f>
        <v>306.21752500000002</v>
      </c>
      <c r="E13" t="s">
        <v>29</v>
      </c>
      <c r="F13" s="5">
        <f>'Berekend verbruik'!B29</f>
        <v>0.12226169539333925</v>
      </c>
      <c r="G13" s="5">
        <f>'Berekend verbruik'!C29</f>
        <v>0.10559225000000001</v>
      </c>
      <c r="I13" s="4" t="s">
        <v>29</v>
      </c>
      <c r="J13" s="9">
        <f>SMALL((B13,F13),1)</f>
        <v>0.12226169539333925</v>
      </c>
      <c r="K13" s="9">
        <f>SMALL((C13,G13),1)</f>
        <v>0.10559225000000001</v>
      </c>
      <c r="M13" s="6" t="s">
        <v>29</v>
      </c>
      <c r="N13" s="8">
        <f t="shared" si="1"/>
        <v>0</v>
      </c>
      <c r="O13" s="8">
        <f t="shared" si="2"/>
        <v>0</v>
      </c>
    </row>
    <row r="14" spans="1:15" x14ac:dyDescent="0.25">
      <c r="A14" t="s">
        <v>30</v>
      </c>
      <c r="B14" s="5">
        <f>1200*'Berekend verbruik'!B14</f>
        <v>206.56045103098407</v>
      </c>
      <c r="C14" s="5">
        <f>2900*'Berekend verbruik'!C14</f>
        <v>356.33004699999987</v>
      </c>
      <c r="E14" t="s">
        <v>30</v>
      </c>
      <c r="F14" s="5">
        <f>'Berekend verbruik'!B30</f>
        <v>0.17213370919248672</v>
      </c>
      <c r="G14" s="5">
        <f>'Berekend verbruik'!C30</f>
        <v>0.12287242999999995</v>
      </c>
      <c r="I14" s="4" t="s">
        <v>30</v>
      </c>
      <c r="J14" s="9">
        <f>SMALL((B14,F14),1)</f>
        <v>0.17213370919248672</v>
      </c>
      <c r="K14" s="9">
        <f>SMALL((C14,G14),1)</f>
        <v>0.12287242999999995</v>
      </c>
      <c r="M14" s="6" t="s">
        <v>30</v>
      </c>
      <c r="N14" s="8">
        <f t="shared" si="1"/>
        <v>0</v>
      </c>
      <c r="O14" s="8">
        <f t="shared" si="2"/>
        <v>0</v>
      </c>
    </row>
    <row r="21" spans="3:3" x14ac:dyDescent="0.25">
      <c r="C21" s="5"/>
    </row>
  </sheetData>
  <pageMargins left="0.7" right="0.7" top="0.75" bottom="0.75" header="0.3" footer="0.3"/>
  <pageSetup paperSize="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Formulas="1" workbookViewId="0">
      <selection activeCell="E36" sqref="E36"/>
    </sheetView>
  </sheetViews>
  <sheetFormatPr defaultRowHeight="15" x14ac:dyDescent="0.25"/>
  <cols>
    <col min="1" max="1" width="18.7109375" customWidth="1"/>
    <col min="3" max="3" width="14.28515625" customWidth="1"/>
  </cols>
  <sheetData>
    <row r="1" spans="1:3" x14ac:dyDescent="0.25">
      <c r="A1" s="4" t="s">
        <v>44</v>
      </c>
    </row>
    <row r="3" spans="1:3" x14ac:dyDescent="0.25">
      <c r="A3" s="6" t="s">
        <v>18</v>
      </c>
      <c r="C3" s="6" t="s">
        <v>52</v>
      </c>
    </row>
    <row r="4" spans="1:3" x14ac:dyDescent="0.25">
      <c r="A4" t="s">
        <v>45</v>
      </c>
      <c r="C4" t="s">
        <v>41</v>
      </c>
    </row>
    <row r="5" spans="1:3" x14ac:dyDescent="0.25">
      <c r="A5" t="s">
        <v>46</v>
      </c>
      <c r="C5" t="s">
        <v>53</v>
      </c>
    </row>
    <row r="6" spans="1:3" x14ac:dyDescent="0.25">
      <c r="A6" t="s">
        <v>47</v>
      </c>
    </row>
    <row r="7" spans="1:3" x14ac:dyDescent="0.25">
      <c r="A7" t="s">
        <v>48</v>
      </c>
    </row>
    <row r="8" spans="1:3" x14ac:dyDescent="0.25">
      <c r="A8" t="s">
        <v>49</v>
      </c>
    </row>
    <row r="9" spans="1:3" x14ac:dyDescent="0.25">
      <c r="A9" t="s">
        <v>50</v>
      </c>
    </row>
    <row r="10" spans="1:3" x14ac:dyDescent="0.25">
      <c r="A10" t="s">
        <v>51</v>
      </c>
    </row>
    <row r="11" spans="1:3" x14ac:dyDescent="0.25">
      <c r="A11" t="s">
        <v>54</v>
      </c>
    </row>
  </sheetData>
  <sheetProtection algorithmName="SHA-512" hashValue="RI2K5TF3XdklB0S0zreBlZ5uMf5HOGs1ydJZXqCvUd86SBSPVr96lzsRaccO22eJhEu/unkRzreTU8E/GeXyFQ==" saltValue="jX0/U3/PU65q83KpcCdIGg==" spinCount="100000" sheet="1" objects="1" scenarios="1"/>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Tegemoetkoming Energiekosten</vt:lpstr>
      <vt:lpstr>Berekend verbruik</vt:lpstr>
      <vt:lpstr>Verrekening Prijsplafond</vt:lpstr>
      <vt:lpstr>Vervolgkeuzelijsten</vt:lpstr>
    </vt:vector>
  </TitlesOfParts>
  <Company>OWO Gemeenten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Jesse Bouma</dc:creator>
  <cp:lastModifiedBy>Jesse Bouma</cp:lastModifiedBy>
  <dcterms:created xsi:type="dcterms:W3CDTF">2023-03-20T06:51:16Z</dcterms:created>
  <dcterms:modified xsi:type="dcterms:W3CDTF">2023-06-15T09:42:59Z</dcterms:modified>
</cp:coreProperties>
</file>